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БЮДЖЕТ\СД2021\16.12.2021\"/>
    </mc:Choice>
  </mc:AlternateContent>
  <xr:revisionPtr revIDLastSave="0" documentId="13_ncr:1_{8F86380F-0524-4CD7-AF71-7D0EDCFCD600}" xr6:coauthVersionLast="47" xr6:coauthVersionMax="47" xr10:uidLastSave="{00000000-0000-0000-0000-000000000000}"/>
  <bookViews>
    <workbookView xWindow="-120" yWindow="-120" windowWidth="21840" windowHeight="13140" firstSheet="6" activeTab="10" xr2:uid="{00000000-000D-0000-FFFF-FFFF00000000}"/>
  </bookViews>
  <sheets>
    <sheet name="приложение 2 на 2021 " sheetId="23" r:id="rId1"/>
    <sheet name="приложение 2 с КЦ" sheetId="22" r:id="rId2"/>
    <sheet name="ПРИЛОЖЕНИЕ 2 на 2022" sheetId="14" r:id="rId3"/>
    <sheet name="ПРИЛОЖЕНИЕ 2 на 2022 год" sheetId="25" r:id="rId4"/>
    <sheet name="ПРИЛОЖЕНИЕ 2 на 2023 год" sheetId="24" r:id="rId5"/>
    <sheet name="ПРИЛОЖЕНИЕ 2 на 2023" sheetId="26" r:id="rId6"/>
    <sheet name="ПРИЛОЖЕНИЕ 3" sheetId="16" r:id="rId7"/>
    <sheet name="ПРИЛОЖЕНИЕ 6" sheetId="17" r:id="rId8"/>
    <sheet name="ПРИЛОЖЕНИЕ 6.1." sheetId="13" r:id="rId9"/>
    <sheet name="Приложение 7" sheetId="28" r:id="rId10"/>
    <sheet name="ПРИЛОЖЕНИЕ 12" sheetId="21" r:id="rId11"/>
  </sheets>
  <definedNames>
    <definedName name="_xlnm._FilterDatabase" localSheetId="8" hidden="1">'ПРИЛОЖЕНИЕ 6.1.'!$A$12:$H$141</definedName>
    <definedName name="BFT_Print_Titles" localSheetId="8">'ПРИЛОЖЕНИЕ 6.1.'!$8:$10</definedName>
    <definedName name="_xlnm.Print_Titles" localSheetId="8">'ПРИЛОЖЕНИЕ 6.1.'!$8:$10</definedName>
    <definedName name="_xlnm.Print_Titles" localSheetId="9">'Приложение 7'!$11:$11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5" i="13" l="1"/>
  <c r="G61" i="28"/>
  <c r="G60" i="28" s="1"/>
  <c r="D55" i="22"/>
  <c r="D49" i="22" s="1"/>
  <c r="D43" i="23"/>
  <c r="D42" i="23"/>
  <c r="E55" i="22"/>
  <c r="C21" i="16"/>
  <c r="C20" i="16"/>
  <c r="C19" i="16"/>
  <c r="C18" i="16"/>
  <c r="C17" i="16"/>
  <c r="C16" i="16"/>
  <c r="C15" i="16"/>
  <c r="C14" i="16"/>
  <c r="C13" i="16"/>
  <c r="E56" i="22"/>
  <c r="E54" i="22"/>
  <c r="E53" i="22"/>
  <c r="E52" i="22"/>
  <c r="E51" i="22"/>
  <c r="E50" i="22"/>
  <c r="C49" i="22"/>
  <c r="E48" i="22"/>
  <c r="E46" i="22"/>
  <c r="D46" i="22"/>
  <c r="C46" i="22"/>
  <c r="E45" i="22"/>
  <c r="E44" i="22"/>
  <c r="E43" i="22"/>
  <c r="E42" i="22"/>
  <c r="E41" i="22"/>
  <c r="E40" i="22"/>
  <c r="E39" i="22"/>
  <c r="E38" i="22"/>
  <c r="E37" i="22"/>
  <c r="E36" i="22"/>
  <c r="E35" i="22"/>
  <c r="E34" i="22"/>
  <c r="D33" i="22"/>
  <c r="C33" i="22"/>
  <c r="E33" i="22" s="1"/>
  <c r="E32" i="22"/>
  <c r="E27" i="22"/>
  <c r="D27" i="22"/>
  <c r="C27" i="22"/>
  <c r="E26" i="22"/>
  <c r="D26" i="22"/>
  <c r="E24" i="22"/>
  <c r="E21" i="22" s="1"/>
  <c r="D24" i="22"/>
  <c r="E22" i="22"/>
  <c r="D22" i="22"/>
  <c r="D21" i="22"/>
  <c r="E20" i="22"/>
  <c r="D19" i="22"/>
  <c r="E19" i="22" s="1"/>
  <c r="E18" i="22"/>
  <c r="E17" i="22"/>
  <c r="D17" i="22"/>
  <c r="D11" i="22" s="1"/>
  <c r="D10" i="22" s="1"/>
  <c r="C17" i="22"/>
  <c r="C11" i="22" s="1"/>
  <c r="C10" i="22" s="1"/>
  <c r="E16" i="22"/>
  <c r="E15" i="22"/>
  <c r="D14" i="22"/>
  <c r="C14" i="22"/>
  <c r="E14" i="22" s="1"/>
  <c r="E13" i="22"/>
  <c r="D12" i="22"/>
  <c r="E12" i="22" s="1"/>
  <c r="C42" i="23"/>
  <c r="E41" i="23"/>
  <c r="E40" i="23"/>
  <c r="D39" i="23"/>
  <c r="C39" i="23"/>
  <c r="E39" i="23" s="1"/>
  <c r="E38" i="23"/>
  <c r="E37" i="23"/>
  <c r="E36" i="23"/>
  <c r="E35" i="23"/>
  <c r="E34" i="23"/>
  <c r="D33" i="23"/>
  <c r="C33" i="23"/>
  <c r="E32" i="23"/>
  <c r="E29" i="23"/>
  <c r="E28" i="23"/>
  <c r="D27" i="23"/>
  <c r="D26" i="23" s="1"/>
  <c r="D24" i="23"/>
  <c r="E24" i="23" s="1"/>
  <c r="D22" i="23"/>
  <c r="D21" i="23" s="1"/>
  <c r="E21" i="23" s="1"/>
  <c r="E20" i="23"/>
  <c r="D19" i="23"/>
  <c r="C19" i="23"/>
  <c r="E19" i="23" s="1"/>
  <c r="E18" i="23"/>
  <c r="D17" i="23"/>
  <c r="C17" i="23"/>
  <c r="E17" i="23" s="1"/>
  <c r="E16" i="23"/>
  <c r="E15" i="23"/>
  <c r="D14" i="23"/>
  <c r="C14" i="23"/>
  <c r="E14" i="23" s="1"/>
  <c r="E13" i="23"/>
  <c r="D12" i="23"/>
  <c r="D11" i="23" s="1"/>
  <c r="E43" i="23" l="1"/>
  <c r="C22" i="16" s="1"/>
  <c r="D31" i="22"/>
  <c r="D30" i="22" s="1"/>
  <c r="D57" i="22" s="1"/>
  <c r="E49" i="22"/>
  <c r="E31" i="22" s="1"/>
  <c r="E30" i="22" s="1"/>
  <c r="E42" i="23"/>
  <c r="D31" i="23"/>
  <c r="D30" i="23" s="1"/>
  <c r="D44" i="23" s="1"/>
  <c r="E11" i="22"/>
  <c r="E10" i="22" s="1"/>
  <c r="C57" i="22"/>
  <c r="C31" i="22"/>
  <c r="C30" i="22" s="1"/>
  <c r="D10" i="23"/>
  <c r="E12" i="23"/>
  <c r="E27" i="23"/>
  <c r="E26" i="23" s="1"/>
  <c r="C31" i="23"/>
  <c r="E33" i="23"/>
  <c r="C11" i="23"/>
  <c r="E22" i="23"/>
  <c r="E57" i="22" l="1"/>
  <c r="E11" i="23"/>
  <c r="C10" i="23"/>
  <c r="E10" i="23" s="1"/>
  <c r="C30" i="23"/>
  <c r="E31" i="23"/>
  <c r="C44" i="23" l="1"/>
  <c r="E30" i="23"/>
  <c r="E44" i="23" s="1"/>
  <c r="G43" i="28" l="1"/>
  <c r="D14" i="17" s="1"/>
  <c r="F123" i="13"/>
  <c r="F33" i="17"/>
  <c r="D33" i="17"/>
  <c r="E35" i="17"/>
  <c r="E25" i="17"/>
  <c r="D25" i="17"/>
  <c r="D18" i="17"/>
  <c r="D13" i="17"/>
  <c r="D12" i="17"/>
  <c r="D10" i="17"/>
  <c r="G14" i="28"/>
  <c r="H14" i="28"/>
  <c r="I14" i="28"/>
  <c r="G17" i="28"/>
  <c r="G18" i="28"/>
  <c r="G19" i="28"/>
  <c r="G20" i="28"/>
  <c r="G23" i="28"/>
  <c r="G25" i="28"/>
  <c r="G26" i="28"/>
  <c r="G27" i="28"/>
  <c r="H27" i="28"/>
  <c r="H16" i="28" s="1"/>
  <c r="I27" i="28"/>
  <c r="I16" i="28" s="1"/>
  <c r="G29" i="28"/>
  <c r="G37" i="28"/>
  <c r="H37" i="28"/>
  <c r="I37" i="28"/>
  <c r="G41" i="28"/>
  <c r="H41" i="28"/>
  <c r="I41" i="28"/>
  <c r="H43" i="28"/>
  <c r="I43" i="28"/>
  <c r="G48" i="28"/>
  <c r="G47" i="28" s="1"/>
  <c r="H48" i="28"/>
  <c r="H47" i="28" s="1"/>
  <c r="I48" i="28"/>
  <c r="I47" i="28" s="1"/>
  <c r="G52" i="28"/>
  <c r="H52" i="28"/>
  <c r="I52" i="28"/>
  <c r="G54" i="28"/>
  <c r="H54" i="28"/>
  <c r="I54" i="28"/>
  <c r="I51" i="28" s="1"/>
  <c r="G56" i="28"/>
  <c r="D19" i="17" s="1"/>
  <c r="H56" i="28"/>
  <c r="I56" i="28"/>
  <c r="H60" i="28"/>
  <c r="E21" i="17" s="1"/>
  <c r="I60" i="28"/>
  <c r="F21" i="17" s="1"/>
  <c r="D21" i="17"/>
  <c r="H66" i="28"/>
  <c r="I66" i="28"/>
  <c r="G68" i="28"/>
  <c r="G66" i="28" s="1"/>
  <c r="D22" i="17" s="1"/>
  <c r="G71" i="28"/>
  <c r="D24" i="17" s="1"/>
  <c r="H71" i="28"/>
  <c r="E24" i="17" s="1"/>
  <c r="I71" i="28"/>
  <c r="F24" i="17" s="1"/>
  <c r="G78" i="28"/>
  <c r="H78" i="28"/>
  <c r="I78" i="28"/>
  <c r="F25" i="17" s="1"/>
  <c r="H81" i="28"/>
  <c r="E26" i="17" s="1"/>
  <c r="I81" i="28"/>
  <c r="F26" i="17" s="1"/>
  <c r="G82" i="28"/>
  <c r="G81" i="28" s="1"/>
  <c r="D26" i="17" s="1"/>
  <c r="G86" i="28"/>
  <c r="H96" i="28"/>
  <c r="H95" i="28" s="1"/>
  <c r="I96" i="28"/>
  <c r="I95" i="28" s="1"/>
  <c r="G97" i="28"/>
  <c r="G96" i="28" s="1"/>
  <c r="G95" i="28" s="1"/>
  <c r="H101" i="28"/>
  <c r="H100" i="28" s="1"/>
  <c r="I101" i="28"/>
  <c r="I100" i="28" s="1"/>
  <c r="G105" i="28"/>
  <c r="G106" i="28"/>
  <c r="G109" i="28"/>
  <c r="G110" i="28"/>
  <c r="G112" i="28"/>
  <c r="G113" i="28"/>
  <c r="G115" i="28"/>
  <c r="G119" i="28"/>
  <c r="D32" i="17" s="1"/>
  <c r="H119" i="28"/>
  <c r="E32" i="17" s="1"/>
  <c r="I119" i="28"/>
  <c r="I118" i="28" s="1"/>
  <c r="G121" i="28"/>
  <c r="H121" i="28"/>
  <c r="H118" i="28" s="1"/>
  <c r="I121" i="28"/>
  <c r="H125" i="28"/>
  <c r="H124" i="28" s="1"/>
  <c r="I125" i="28"/>
  <c r="I124" i="28" s="1"/>
  <c r="G126" i="28"/>
  <c r="G125" i="28" s="1"/>
  <c r="G124" i="28" s="1"/>
  <c r="D31" i="17" l="1"/>
  <c r="D35" i="17"/>
  <c r="F35" i="17"/>
  <c r="D16" i="17"/>
  <c r="E30" i="17"/>
  <c r="E33" i="17"/>
  <c r="F30" i="17"/>
  <c r="F16" i="17"/>
  <c r="D28" i="17"/>
  <c r="F32" i="17"/>
  <c r="E16" i="17"/>
  <c r="H13" i="28"/>
  <c r="G16" i="28"/>
  <c r="D11" i="17" s="1"/>
  <c r="I59" i="28"/>
  <c r="G51" i="28"/>
  <c r="G118" i="28"/>
  <c r="G101" i="28"/>
  <c r="H70" i="28"/>
  <c r="H51" i="28"/>
  <c r="I70" i="28"/>
  <c r="H59" i="28"/>
  <c r="G59" i="28"/>
  <c r="G70" i="28"/>
  <c r="I13" i="28"/>
  <c r="F83" i="13"/>
  <c r="F120" i="13"/>
  <c r="F119" i="13"/>
  <c r="F118" i="13"/>
  <c r="F113" i="13"/>
  <c r="F111" i="13"/>
  <c r="F136" i="13"/>
  <c r="F78" i="13"/>
  <c r="F82" i="13"/>
  <c r="F84" i="13"/>
  <c r="F31" i="13"/>
  <c r="F27" i="13"/>
  <c r="F23" i="13"/>
  <c r="F22" i="13"/>
  <c r="F21" i="13"/>
  <c r="F20" i="13"/>
  <c r="F17" i="13"/>
  <c r="F16" i="13"/>
  <c r="F50" i="13"/>
  <c r="F130" i="13"/>
  <c r="F129" i="13"/>
  <c r="F127" i="13"/>
  <c r="F126" i="13"/>
  <c r="G50" i="13"/>
  <c r="H50" i="13"/>
  <c r="F107" i="13" l="1"/>
  <c r="G100" i="28"/>
  <c r="D30" i="17"/>
  <c r="G13" i="28"/>
  <c r="G12" i="28" s="1"/>
  <c r="H12" i="28"/>
  <c r="H127" i="28"/>
  <c r="I12" i="28"/>
  <c r="I127" i="28"/>
  <c r="G127" i="28"/>
  <c r="F70" i="13"/>
  <c r="F133" i="13"/>
  <c r="E42" i="26"/>
  <c r="D41" i="26"/>
  <c r="E40" i="26"/>
  <c r="E39" i="26"/>
  <c r="D38" i="26"/>
  <c r="E37" i="26"/>
  <c r="E36" i="26"/>
  <c r="E35" i="26"/>
  <c r="E34" i="26"/>
  <c r="D33" i="26"/>
  <c r="E29" i="26"/>
  <c r="E28" i="26"/>
  <c r="D27" i="26"/>
  <c r="D26" i="26" s="1"/>
  <c r="E25" i="26"/>
  <c r="D24" i="26"/>
  <c r="E24" i="26"/>
  <c r="E23" i="26"/>
  <c r="D22" i="26"/>
  <c r="E20" i="26"/>
  <c r="D19" i="26"/>
  <c r="E19" i="26"/>
  <c r="E18" i="26"/>
  <c r="D17" i="26"/>
  <c r="E16" i="26"/>
  <c r="E15" i="26"/>
  <c r="D14" i="26"/>
  <c r="E13" i="26"/>
  <c r="D12" i="26"/>
  <c r="E41" i="25"/>
  <c r="D40" i="25"/>
  <c r="E40" i="25" s="1"/>
  <c r="E39" i="25"/>
  <c r="E38" i="25"/>
  <c r="D37" i="25"/>
  <c r="E36" i="25"/>
  <c r="E34" i="25"/>
  <c r="D33" i="25"/>
  <c r="E33" i="25" s="1"/>
  <c r="E29" i="25"/>
  <c r="E28" i="25"/>
  <c r="D27" i="25"/>
  <c r="D26" i="25"/>
  <c r="E25" i="25"/>
  <c r="D24" i="25"/>
  <c r="E23" i="25"/>
  <c r="D22" i="25"/>
  <c r="E22" i="25"/>
  <c r="E20" i="25"/>
  <c r="D19" i="25"/>
  <c r="E18" i="25"/>
  <c r="D17" i="25"/>
  <c r="E17" i="25"/>
  <c r="E16" i="25"/>
  <c r="E15" i="25"/>
  <c r="D14" i="25"/>
  <c r="E14" i="25" s="1"/>
  <c r="E13" i="25"/>
  <c r="D12" i="25"/>
  <c r="D21" i="26" l="1"/>
  <c r="E21" i="26" s="1"/>
  <c r="D11" i="26"/>
  <c r="D10" i="26" s="1"/>
  <c r="D21" i="25"/>
  <c r="E21" i="25" s="1"/>
  <c r="E27" i="26"/>
  <c r="E26" i="25"/>
  <c r="D11" i="25"/>
  <c r="D10" i="25" s="1"/>
  <c r="E19" i="25"/>
  <c r="E22" i="26"/>
  <c r="E26" i="26"/>
  <c r="D31" i="26"/>
  <c r="D30" i="26" s="1"/>
  <c r="E41" i="26"/>
  <c r="E37" i="25"/>
  <c r="E14" i="26"/>
  <c r="E38" i="26"/>
  <c r="E17" i="26"/>
  <c r="E12" i="26"/>
  <c r="E33" i="26"/>
  <c r="E32" i="26"/>
  <c r="D31" i="25"/>
  <c r="D30" i="25" s="1"/>
  <c r="D42" i="25" s="1"/>
  <c r="E32" i="25"/>
  <c r="E35" i="25"/>
  <c r="E12" i="25"/>
  <c r="E24" i="25"/>
  <c r="E27" i="25"/>
  <c r="H70" i="13"/>
  <c r="G61" i="13"/>
  <c r="H61" i="13"/>
  <c r="F61" i="13"/>
  <c r="E35" i="24"/>
  <c r="E17" i="16" s="1"/>
  <c r="D26" i="24"/>
  <c r="E42" i="24"/>
  <c r="E22" i="16" s="1"/>
  <c r="D41" i="24"/>
  <c r="E40" i="24"/>
  <c r="E21" i="16" s="1"/>
  <c r="E39" i="24"/>
  <c r="E20" i="16" s="1"/>
  <c r="D38" i="24"/>
  <c r="E37" i="24"/>
  <c r="E34" i="24"/>
  <c r="E16" i="16" s="1"/>
  <c r="D33" i="24"/>
  <c r="E29" i="24"/>
  <c r="E28" i="24"/>
  <c r="D27" i="24"/>
  <c r="E25" i="24"/>
  <c r="E23" i="24"/>
  <c r="D24" i="24"/>
  <c r="D22" i="24"/>
  <c r="E20" i="24"/>
  <c r="D19" i="24"/>
  <c r="E18" i="24"/>
  <c r="D17" i="24"/>
  <c r="E17" i="24" s="1"/>
  <c r="E15" i="24"/>
  <c r="E16" i="24"/>
  <c r="D14" i="24"/>
  <c r="E13" i="24"/>
  <c r="D12" i="24"/>
  <c r="E41" i="14"/>
  <c r="D22" i="16" s="1"/>
  <c r="D40" i="14"/>
  <c r="E39" i="14"/>
  <c r="D21" i="16" s="1"/>
  <c r="E38" i="14"/>
  <c r="D20" i="16" s="1"/>
  <c r="D37" i="14"/>
  <c r="D33" i="14"/>
  <c r="E36" i="14"/>
  <c r="E34" i="14"/>
  <c r="D16" i="16" s="1"/>
  <c r="E28" i="14"/>
  <c r="E29" i="14"/>
  <c r="D27" i="14"/>
  <c r="C27" i="14"/>
  <c r="C26" i="14" s="1"/>
  <c r="C22" i="14"/>
  <c r="D24" i="14"/>
  <c r="E25" i="14"/>
  <c r="D22" i="14"/>
  <c r="E23" i="14"/>
  <c r="D19" i="14"/>
  <c r="E20" i="14"/>
  <c r="D17" i="14"/>
  <c r="E18" i="14"/>
  <c r="E16" i="14"/>
  <c r="E15" i="14"/>
  <c r="D14" i="14"/>
  <c r="D12" i="14"/>
  <c r="E13" i="14"/>
  <c r="E32" i="24"/>
  <c r="E14" i="16" s="1"/>
  <c r="E22" i="24"/>
  <c r="F15" i="13"/>
  <c r="G107" i="13"/>
  <c r="H107" i="13"/>
  <c r="E22" i="14" l="1"/>
  <c r="D31" i="14"/>
  <c r="D30" i="14" s="1"/>
  <c r="D43" i="26"/>
  <c r="C23" i="16"/>
  <c r="E41" i="24"/>
  <c r="E33" i="24"/>
  <c r="E27" i="14"/>
  <c r="E24" i="24"/>
  <c r="E10" i="25"/>
  <c r="E42" i="25"/>
  <c r="E10" i="26"/>
  <c r="E11" i="26"/>
  <c r="E31" i="26"/>
  <c r="E31" i="25"/>
  <c r="E11" i="25"/>
  <c r="E30" i="25"/>
  <c r="D26" i="14"/>
  <c r="D21" i="14"/>
  <c r="D11" i="14" s="1"/>
  <c r="E19" i="24"/>
  <c r="E14" i="24"/>
  <c r="E38" i="24"/>
  <c r="D21" i="24"/>
  <c r="D11" i="24" s="1"/>
  <c r="D10" i="24" s="1"/>
  <c r="E26" i="24"/>
  <c r="E27" i="24"/>
  <c r="E36" i="24"/>
  <c r="E18" i="16" s="1"/>
  <c r="E12" i="24"/>
  <c r="D31" i="24"/>
  <c r="D30" i="24" s="1"/>
  <c r="D43" i="24" l="1"/>
  <c r="D10" i="14"/>
  <c r="D42" i="14" s="1"/>
  <c r="E30" i="26"/>
  <c r="E43" i="26"/>
  <c r="E26" i="14"/>
  <c r="E21" i="24"/>
  <c r="E31" i="24"/>
  <c r="E30" i="24" l="1"/>
  <c r="E11" i="24"/>
  <c r="E10" i="24" l="1"/>
  <c r="E43" i="24"/>
  <c r="E9" i="17" l="1"/>
  <c r="F9" i="17"/>
  <c r="G86" i="13" l="1"/>
  <c r="G70" i="13" l="1"/>
  <c r="J16" i="21" l="1"/>
  <c r="I16" i="21"/>
  <c r="H16" i="21"/>
  <c r="G16" i="21"/>
  <c r="F16" i="21"/>
  <c r="E31" i="17" l="1"/>
  <c r="F31" i="17"/>
  <c r="D38" i="17"/>
  <c r="F36" i="17"/>
  <c r="D36" i="17"/>
  <c r="F34" i="17"/>
  <c r="E34" i="17"/>
  <c r="F27" i="17"/>
  <c r="E27" i="17"/>
  <c r="F20" i="17"/>
  <c r="F17" i="17"/>
  <c r="E17" i="17"/>
  <c r="E13" i="16"/>
  <c r="E23" i="16" s="1"/>
  <c r="E36" i="17" l="1"/>
  <c r="D37" i="17"/>
  <c r="F37" i="17"/>
  <c r="H15" i="13"/>
  <c r="E15" i="17"/>
  <c r="F15" i="17"/>
  <c r="D15" i="17"/>
  <c r="F38" i="17" l="1"/>
  <c r="E38" i="17"/>
  <c r="E37" i="17"/>
  <c r="G47" i="13"/>
  <c r="G46" i="13" s="1"/>
  <c r="H47" i="13"/>
  <c r="H46" i="13" s="1"/>
  <c r="F47" i="13"/>
  <c r="F46" i="13" s="1"/>
  <c r="G43" i="13"/>
  <c r="H43" i="13"/>
  <c r="G36" i="13"/>
  <c r="H36" i="13"/>
  <c r="F36" i="13"/>
  <c r="D20" i="17"/>
  <c r="E20" i="17"/>
  <c r="D17" i="17" l="1"/>
  <c r="D27" i="17"/>
  <c r="D34" i="17"/>
  <c r="E23" i="17"/>
  <c r="D23" i="17"/>
  <c r="F23" i="17"/>
  <c r="E29" i="17"/>
  <c r="F29" i="17"/>
  <c r="D9" i="17" l="1"/>
  <c r="E39" i="17"/>
  <c r="F39" i="17"/>
  <c r="C35" i="14" l="1"/>
  <c r="D29" i="17" l="1"/>
  <c r="D39" i="17" s="1"/>
  <c r="C33" i="14"/>
  <c r="E33" i="14" s="1"/>
  <c r="E35" i="14"/>
  <c r="D18" i="16" s="1"/>
  <c r="G128" i="13"/>
  <c r="H128" i="13"/>
  <c r="F128" i="13"/>
  <c r="C40" i="14" l="1"/>
  <c r="C37" i="14"/>
  <c r="E37" i="14" s="1"/>
  <c r="C32" i="14"/>
  <c r="E32" i="14" s="1"/>
  <c r="D14" i="16" s="1"/>
  <c r="D13" i="16" s="1"/>
  <c r="D23" i="16" s="1"/>
  <c r="C24" i="14"/>
  <c r="C19" i="14"/>
  <c r="E19" i="14" s="1"/>
  <c r="C17" i="14"/>
  <c r="E17" i="14" s="1"/>
  <c r="C14" i="14"/>
  <c r="E14" i="14" s="1"/>
  <c r="C12" i="14"/>
  <c r="E12" i="14" s="1"/>
  <c r="E40" i="14" l="1"/>
  <c r="C21" i="14"/>
  <c r="E21" i="14" s="1"/>
  <c r="E24" i="14"/>
  <c r="C31" i="14"/>
  <c r="C30" i="14" l="1"/>
  <c r="E31" i="14"/>
  <c r="C11" i="14"/>
  <c r="C10" i="14" l="1"/>
  <c r="C42" i="14" s="1"/>
  <c r="E42" i="14" s="1"/>
  <c r="E11" i="14"/>
  <c r="E30" i="14"/>
  <c r="H55" i="13"/>
  <c r="G55" i="13"/>
  <c r="F55" i="13"/>
  <c r="E10" i="14" l="1"/>
  <c r="F43" i="13" l="1"/>
  <c r="L14" i="21" l="1"/>
  <c r="F66" i="13"/>
  <c r="L15" i="21" l="1"/>
  <c r="G125" i="13"/>
  <c r="H125" i="13"/>
  <c r="F125" i="13"/>
  <c r="H139" i="13"/>
  <c r="O20" i="21" s="1"/>
  <c r="F58" i="13" l="1"/>
  <c r="G139" i="13"/>
  <c r="N20" i="21" s="1"/>
  <c r="F139" i="13"/>
  <c r="L20" i="21" s="1"/>
  <c r="H137" i="13"/>
  <c r="O19" i="21" s="1"/>
  <c r="G137" i="13"/>
  <c r="F137" i="13"/>
  <c r="L19" i="21" s="1"/>
  <c r="H133" i="13"/>
  <c r="O18" i="21" s="1"/>
  <c r="G133" i="13"/>
  <c r="N18" i="21" s="1"/>
  <c r="L18" i="21"/>
  <c r="H131" i="13"/>
  <c r="G131" i="13"/>
  <c r="F131" i="13"/>
  <c r="H124" i="13"/>
  <c r="G124" i="13"/>
  <c r="F124" i="13"/>
  <c r="H117" i="13"/>
  <c r="G117" i="13"/>
  <c r="F117" i="13"/>
  <c r="H66" i="13"/>
  <c r="G66" i="13"/>
  <c r="H58" i="13"/>
  <c r="G58" i="13"/>
  <c r="H54" i="13"/>
  <c r="H142" i="13" s="1"/>
  <c r="G54" i="13"/>
  <c r="G142" i="13" s="1"/>
  <c r="F54" i="13"/>
  <c r="H49" i="13"/>
  <c r="G49" i="13"/>
  <c r="F49" i="13"/>
  <c r="G15" i="13"/>
  <c r="H13" i="13"/>
  <c r="G13" i="13"/>
  <c r="F13" i="13"/>
  <c r="N15" i="21" l="1"/>
  <c r="O15" i="21"/>
  <c r="F106" i="13"/>
  <c r="H12" i="13"/>
  <c r="H11" i="13" s="1"/>
  <c r="N14" i="21"/>
  <c r="O14" i="21"/>
  <c r="N19" i="21"/>
  <c r="M19" i="21"/>
  <c r="G12" i="13"/>
  <c r="G11" i="13" s="1"/>
  <c r="F12" i="13"/>
  <c r="F11" i="13" s="1"/>
  <c r="H106" i="13"/>
  <c r="G106" i="13"/>
  <c r="N17" i="21" l="1"/>
  <c r="O17" i="21"/>
  <c r="L17" i="21"/>
  <c r="F60" i="13"/>
  <c r="L16" i="21"/>
  <c r="L13" i="21" l="1"/>
  <c r="F141" i="13"/>
  <c r="H60" i="13"/>
  <c r="O13" i="21" s="1"/>
  <c r="N16" i="21"/>
  <c r="M13" i="21" s="1"/>
  <c r="G60" i="13"/>
  <c r="O16" i="21"/>
  <c r="H141" i="13" l="1"/>
  <c r="H143" i="13" s="1"/>
  <c r="H145" i="13" s="1"/>
  <c r="H146" i="13" s="1"/>
  <c r="G141" i="13"/>
  <c r="G143" i="13" s="1"/>
  <c r="G145" i="13" s="1"/>
  <c r="G146" i="13" s="1"/>
  <c r="N13" i="21"/>
  <c r="G147" i="13" l="1"/>
  <c r="G148" i="13" s="1"/>
  <c r="H147" i="13"/>
  <c r="H148" i="13" s="1"/>
</calcChain>
</file>

<file path=xl/sharedStrings.xml><?xml version="1.0" encoding="utf-8"?>
<sst xmlns="http://schemas.openxmlformats.org/spreadsheetml/2006/main" count="1944" uniqueCount="527">
  <si>
    <t>2</t>
  </si>
  <si>
    <t>3</t>
  </si>
  <si>
    <t>4</t>
  </si>
  <si>
    <t>6</t>
  </si>
  <si>
    <t>7</t>
  </si>
  <si>
    <t>5</t>
  </si>
  <si>
    <t>КБК</t>
  </si>
  <si>
    <t>КВСР</t>
  </si>
  <si>
    <t>КВР</t>
  </si>
  <si>
    <t>КЦСР</t>
  </si>
  <si>
    <t>КФСР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</si>
  <si>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</si>
  <si>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</si>
  <si>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</si>
  <si>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</si>
  <si>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</si>
  <si>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</si>
  <si>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</si>
  <si>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</si>
  <si>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</si>
  <si>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</si>
  <si>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</si>
  <si>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</si>
  <si>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</si>
  <si>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</si>
  <si>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</si>
  <si>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</si>
  <si>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</si>
  <si>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</si>
  <si>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</si>
  <si>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</si>
  <si>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</si>
  <si>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0309</t>
  </si>
  <si>
    <t>0412</t>
  </si>
  <si>
    <t>0501</t>
  </si>
  <si>
    <t>0503</t>
  </si>
  <si>
    <t>0707</t>
  </si>
  <si>
    <t>0800</t>
  </si>
  <si>
    <t>0801</t>
  </si>
  <si>
    <t>111</t>
  </si>
  <si>
    <t>1001</t>
  </si>
  <si>
    <t>321</t>
  </si>
  <si>
    <t>ВСЕГО:</t>
  </si>
  <si>
    <t>Непрограммная часть</t>
  </si>
  <si>
    <t>Подпрограмма3."Жилищно-коммунальное хозяйство,содержание автомобильных дорог и благоустройство территории Пудомягского сельского поселения</t>
  </si>
  <si>
    <t>СОЦИАЛЬНАЯ ПОЛИТИКА</t>
  </si>
  <si>
    <t>1000</t>
  </si>
  <si>
    <t>Программная часть "Социально-экономическое развитие муниципального образования "Пудомягское сельское поселение"Гатчинского муниципального района Ленинградской области</t>
  </si>
  <si>
    <t>0300</t>
  </si>
  <si>
    <t>0409</t>
  </si>
  <si>
    <t>Подпрограмма 2 ."Обеспечение безопасности на территории Пудомягского сельского поселения"</t>
  </si>
  <si>
    <t>6180011050</t>
  </si>
  <si>
    <t>6100000000</t>
  </si>
  <si>
    <t>6170011020</t>
  </si>
  <si>
    <t>6180011030</t>
  </si>
  <si>
    <t>6200000000</t>
  </si>
  <si>
    <t>6290015020</t>
  </si>
  <si>
    <t>6290015280</t>
  </si>
  <si>
    <t>0500</t>
  </si>
  <si>
    <t xml:space="preserve">Фонд оплаты труда государственных (муниципальных) органов </t>
  </si>
  <si>
    <t>Взносы по обязательному социальному страхованию на выплатыпо оплате труда и иные выплаты работникам казенных учреждений</t>
  </si>
  <si>
    <t>119</t>
  </si>
  <si>
    <t>129</t>
  </si>
  <si>
    <t>Главный бухгалтер</t>
  </si>
  <si>
    <t>Уплата почих налогов, сборов</t>
  </si>
  <si>
    <t>Закупка товаров, работ,услуг в сфере информационно-коммуникационных технологий</t>
  </si>
  <si>
    <t>Уплата иных платежей</t>
  </si>
  <si>
    <t>242</t>
  </si>
  <si>
    <t>852</t>
  </si>
  <si>
    <t>853</t>
  </si>
  <si>
    <t>112</t>
  </si>
  <si>
    <t>НАЦИОНАЛЬНАЯ ОБОРОНА</t>
  </si>
  <si>
    <t>0203</t>
  </si>
  <si>
    <t>6290051180</t>
  </si>
  <si>
    <t>6290017110</t>
  </si>
  <si>
    <t>0502</t>
  </si>
  <si>
    <t>4. Мероприятия по обеспечению деятельности подведомственных учреждений культуры</t>
  </si>
  <si>
    <t>Подпрограмма 4.Развитие культуры и спорта,организация праздничных мероприятий на территории Пудомягского сельского поселения</t>
  </si>
  <si>
    <t>0700</t>
  </si>
  <si>
    <t>Подпрограмма 5."Развитие молодежной политики на территории Пудомягского сельского поселения</t>
  </si>
  <si>
    <t>Подпрограмма 6: "Формирование комфортной городской среды на территории Пудомягского сельского поселения</t>
  </si>
  <si>
    <t>5.2. Взносы по обязательному страхованию на выплаты по оплате труда временно олпачиваемых рабочих мест в рамках подпрограммы</t>
  </si>
  <si>
    <t>5.3 Проведение мероприятий для детей и молодежи</t>
  </si>
  <si>
    <t>6170011040</t>
  </si>
  <si>
    <t>Иные выплаты персоналу государственных (муниципальных) органов, за исключением фонда оплаты труда</t>
  </si>
  <si>
    <t>122</t>
  </si>
  <si>
    <t>Премии и гранты</t>
  </si>
  <si>
    <t>350</t>
  </si>
  <si>
    <t>6180015070</t>
  </si>
  <si>
    <t>6290016271</t>
  </si>
  <si>
    <t>5.1 Комплексные меры по профилактике и безопасности несовершеннолетних</t>
  </si>
  <si>
    <t>0314</t>
  </si>
  <si>
    <t>Пенсионное обеспечение</t>
  </si>
  <si>
    <t>1.1. Комплексные кадастровые работы</t>
  </si>
  <si>
    <t>1.2. Мероприятия в рамках поддержки малого и среднего бизнеса</t>
  </si>
  <si>
    <t>6.1. Мероприятия в области благоустройства в рамках подпрограммы "Комфортная среда"</t>
  </si>
  <si>
    <t>1102</t>
  </si>
  <si>
    <t>0611</t>
  </si>
  <si>
    <t>2022 Прогнозируемый год</t>
  </si>
  <si>
    <t>2.1.Предупреждение и ликвидация последствийчрезвычайных ситуаций и стихийных бедствий природного и техногенного характера</t>
  </si>
  <si>
    <t>2.2.Мероприятия по обеспечению первичных мер пожарной безопасности</t>
  </si>
  <si>
    <t>2.3.Профилактика терроризма и экстремизма</t>
  </si>
  <si>
    <t>Иные межбюджетные трансферты</t>
  </si>
  <si>
    <t>0106</t>
  </si>
  <si>
    <t>6290013020</t>
  </si>
  <si>
    <t>540</t>
  </si>
  <si>
    <t>6290013150</t>
  </si>
  <si>
    <t>6290013060</t>
  </si>
  <si>
    <t>6290000000</t>
  </si>
  <si>
    <t>Подпрограмма 7: "Формирование законопослушного поведения участников дорожного движения в муниципальном образовании «Пудомягское сельское  поселение"</t>
  </si>
  <si>
    <t>7Ц.7.00.19280</t>
  </si>
  <si>
    <t>6290013010</t>
  </si>
  <si>
    <t>6290013030</t>
  </si>
  <si>
    <t>6290013070</t>
  </si>
  <si>
    <t>6180071340</t>
  </si>
  <si>
    <t>7Ц.1.00.19100</t>
  </si>
  <si>
    <t>7Ц.1.00.15510</t>
  </si>
  <si>
    <t>6290015200</t>
  </si>
  <si>
    <t>7Ц.3.00.16400</t>
  </si>
  <si>
    <t>7Ц.3.00.15380</t>
  </si>
  <si>
    <t>7Ц.3.00.15400</t>
  </si>
  <si>
    <t>7Ц.3.00.15420</t>
  </si>
  <si>
    <t>7Ц.3.00.S4660</t>
  </si>
  <si>
    <t>7Ц.6.00.18932</t>
  </si>
  <si>
    <t>7Ц.2.00.15100</t>
  </si>
  <si>
    <t>7Ц.2.00.15120</t>
  </si>
  <si>
    <t>7Ц.2.00.15690</t>
  </si>
  <si>
    <t>7Ц</t>
  </si>
  <si>
    <t>7Ц.1</t>
  </si>
  <si>
    <t>7Ц.2</t>
  </si>
  <si>
    <t>7Ц.3</t>
  </si>
  <si>
    <t>7Ц.3.00.15390</t>
  </si>
  <si>
    <t>7Ц.3.00.S0140</t>
  </si>
  <si>
    <t>7Ц.7.00.19284</t>
  </si>
  <si>
    <t>7.1.Прочая закупка товаров,работ и услуг для обеспечения государственных (муниципальных) нужд</t>
  </si>
  <si>
    <t>7Ц.3.00S4770</t>
  </si>
  <si>
    <t>4.1.Охрана семьи и детства</t>
  </si>
  <si>
    <t>1004</t>
  </si>
  <si>
    <t>7Ц.4.00.12500</t>
  </si>
  <si>
    <t xml:space="preserve">4.2.Фонд оплаты труда казенных учреждений </t>
  </si>
  <si>
    <t>4.3.Взносы по обязательному социальному страхованию на выплатыпо оплате труда и иные выплаты работникам казенных учреждений</t>
  </si>
  <si>
    <t>4.4. Мероприятия в области информационно-коммуникационных технологий</t>
  </si>
  <si>
    <t>4.5.Иные выплаты персоналу казенных учреждений</t>
  </si>
  <si>
    <t>4.6.Прочая закупка товаров,работ и услуг для обеспечения государственных (муниципальных) нужд</t>
  </si>
  <si>
    <t>7Ц.4.00.12600</t>
  </si>
  <si>
    <t>7Ц.4.00.15630</t>
  </si>
  <si>
    <t>7Ц.4</t>
  </si>
  <si>
    <t>7Ц40000000</t>
  </si>
  <si>
    <t>7Ц400S360</t>
  </si>
  <si>
    <t>7Ц40015340</t>
  </si>
  <si>
    <t>7Ц.5</t>
  </si>
  <si>
    <t>7Ц.5.00.18660</t>
  </si>
  <si>
    <t>7Ц.5.00.15230</t>
  </si>
  <si>
    <t>7Ц.6.00.00000</t>
  </si>
  <si>
    <t xml:space="preserve">7Ц3 00L4970 </t>
  </si>
  <si>
    <t>322</t>
  </si>
  <si>
    <t>О.Р. Мороз</t>
  </si>
  <si>
    <t>7Ц.3.00S4790</t>
  </si>
  <si>
    <t>Распределение бюджетных ассигнований по разделам и подразделам, целевым  статьям, видам расходов классификации расходов бюджета Пудомягского сельского поселения на на  2021 год и плановый период 2022-2023 гг</t>
  </si>
  <si>
    <t xml:space="preserve">2021       </t>
  </si>
  <si>
    <t>2023 Прогнозируемый год</t>
  </si>
  <si>
    <t>Код дохода по КД</t>
  </si>
  <si>
    <t>Бюджет Пудомягского сельского поселения на плановый 2021 год</t>
  </si>
  <si>
    <t>Бюджет Пудомягского сельского поселения на плановый 2022 год</t>
  </si>
  <si>
    <t>Бюджет Пудомягского сельского поселения на плановый 2023 год</t>
  </si>
  <si>
    <t>НАЛОГОВЫЕ И НЕНАЛОГОВЫЕ ДОХОДЫ</t>
  </si>
  <si>
    <t xml:space="preserve">налоговые доходы </t>
  </si>
  <si>
    <t>182 1 01 02000 01 0000 110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</si>
  <si>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</si>
  <si>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</si>
  <si>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100 1 03 02000 01 0000 110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</si>
  <si>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</si>
  <si>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</si>
  <si>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182 1 05 03000 01 1000 110</t>
  </si>
  <si>
    <t>Единый сельскохозяйственный налог</t>
  </si>
  <si>
    <t>182 1 05 03010 01 1000 110</t>
  </si>
  <si>
    <t>182 1 06 01000 00 0000 110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</si>
  <si>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</si>
  <si>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</si>
  <si>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182 1 06 06000 00 0000 110</t>
  </si>
  <si>
    <t>Земельный налог</t>
  </si>
  <si>
    <t>182 1 06 06030 00 0000 110</t>
  </si>
  <si>
    <t xml:space="preserve">Земельный налог с организаций </t>
  </si>
  <si>
    <t>Земельный налог с организаций, обладающих земельным участком, расположенным в границах сельских  поселений</t>
  </si>
  <si>
    <t>182 1 06 06040 00 0000 110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</si>
  <si>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</si>
  <si>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</si>
  <si>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</si>
  <si>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>611 1 11 00000 00 0000 000</t>
  </si>
  <si>
    <t>ДОХОДЫ ОТ ИСПОЛЬЗОВАНИЯ ИМУЩЕСТВА, НАХОДЯЩЕГОСЯ В ГОСУДАРСТВЕННОЙ И МУНИЦИПАЛЬНОЙ СОБСТВЕННОСТИ</t>
  </si>
  <si>
    <t>611 1 11 05035 10 0000 120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</si>
  <si>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</si>
  <si>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611 1 11 09045 10 0111 120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</si>
  <si>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</si>
  <si>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611 2 00 00000 00 0000 000</t>
  </si>
  <si>
    <t>БЕЗВОЗМЕЗДНЫЕ ПОСТУПЛЕНИЯ</t>
  </si>
  <si>
    <t>611 2 02 00000 00 0000 000</t>
  </si>
  <si>
    <t>БЕЗВОЗМЕЗДНЫЕ ПОСТУПЛЕНИЯ ОТ ДРУГИХ БЮДЖЕТОВ БЮДЖЕТНОЙ СИСТЕМЫ РОССИЙСКОЙ ФЕДЕРАЦИИ</t>
  </si>
  <si>
    <t>611 2 02 15001 10 0000 150</t>
  </si>
  <si>
    <t>Дотации бюджетам сельских поселений на выравнивание бюджетной обеспеченности</t>
  </si>
  <si>
    <t>611 2 02 2000  10 0000 150</t>
  </si>
  <si>
    <t>Субсидии бюджетной системы Российской Федерации (межбюджетные субсидии)</t>
  </si>
  <si>
    <t>611 2 02 20216 10 0000 150</t>
  </si>
  <si>
    <t>Субсидии на капитальный ремонт и ремонт автомобильных дорог общего пользования местного значения</t>
  </si>
  <si>
    <t>611 2 02 29999 10 0000 150</t>
  </si>
  <si>
    <t>Прочие субсидии бюджетам поселений</t>
  </si>
  <si>
    <t>611 2 02 25497 10 0000 150</t>
  </si>
  <si>
    <t xml:space="preserve"> Субсидии бюджетам сельских поселений на реализацию мероприятий по обеспечению жильем молодых семей</t>
  </si>
  <si>
    <t>611 2 02 30000 00 0000 150</t>
  </si>
  <si>
    <t xml:space="preserve">Субвенции бюджетам субъектов Российской Федерации и муниципальных образований </t>
  </si>
  <si>
    <t>611 2 02 30024 10 0000 150</t>
  </si>
  <si>
    <t>Субвенции бюджетам сельских поселений на осуществление полномочий в сфере административных правонарушений</t>
  </si>
  <si>
    <t>6112 02 35118 10 0000 150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</si>
  <si>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</si>
  <si>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611 2 02 40000 00 0000 150</t>
  </si>
  <si>
    <t>611 2 02 49999 10 0000 150</t>
  </si>
  <si>
    <t>Прочие межбюджетные трансферты, передаваемые бюджетам сельских поселений</t>
  </si>
  <si>
    <t>Доходы бюджета - Всего</t>
  </si>
  <si>
    <t>629.00.15200</t>
  </si>
  <si>
    <t>Приложение  2</t>
  </si>
  <si>
    <t>к Решению Совета депутатов</t>
  </si>
  <si>
    <t>Пудомягского сельского поселения</t>
  </si>
  <si>
    <t xml:space="preserve">4.17.Фонд оплаты труда казенных учреждений </t>
  </si>
  <si>
    <t xml:space="preserve">4.18.Взносы по обязательному социальному страхованию на выплаты по оплате труда работников </t>
  </si>
  <si>
    <t>Софинансирование на стимулирующие выплаты средства ПСП</t>
  </si>
  <si>
    <t>1 03 02231 01 0000 110</t>
  </si>
  <si>
    <t>1 03 02251 01 0000 110</t>
  </si>
  <si>
    <t>182 1 01 02010 01 1000 110</t>
  </si>
  <si>
    <t>182 1 06 01030 10 1000 110</t>
  </si>
  <si>
    <t>182 1 06 06033 10 1000 110</t>
  </si>
  <si>
    <t>182 1 06 06043 10 1000 110</t>
  </si>
  <si>
    <t>Приложение 7</t>
  </si>
  <si>
    <t>К решению Совета депутатов</t>
  </si>
  <si>
    <t>тыс. руб.</t>
  </si>
  <si>
    <t>0200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</si>
  <si>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</si>
  <si>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</si>
  <si>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</si>
  <si>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НАЦИОНАЛЬНАЯ ЭКОНОМИКА</t>
  </si>
  <si>
    <t>0400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</si>
  <si>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</si>
  <si>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</si>
  <si>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</si>
  <si>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</si>
  <si>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</si>
  <si>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</si>
  <si>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7Ц30015380</t>
  </si>
  <si>
    <t>ОБРАЗОВАНИЕ</t>
  </si>
  <si>
    <t>Молодежная политика и оздоровление детей</t>
  </si>
  <si>
    <t>Пособия, компенсации и иные социальные выплаты гражданам, кроме публичных нормативных обязательств</t>
  </si>
  <si>
    <t>Охрана семьи и детства</t>
  </si>
  <si>
    <t>7Ц40012500</t>
  </si>
  <si>
    <t>КУЛЬТУРА, КИНЕМАТОГРАФИЯ</t>
  </si>
  <si>
    <t>Культура</t>
  </si>
  <si>
    <t>ФИЗИЧЕСКАЯ КУЛЬТУРА И СПОРТ</t>
  </si>
  <si>
    <t>1100</t>
  </si>
  <si>
    <t>Массовый спорт</t>
  </si>
  <si>
    <t xml:space="preserve">Ведомственная структура расходов бюджета Пудомягского сельского поселения на 2021 год и плановый период 2022-2023 годов.                                                    </t>
  </si>
  <si>
    <t>Приложение 6.1</t>
  </si>
  <si>
    <t>Приложение   3</t>
  </si>
  <si>
    <t>Межбюджетные трансферты,</t>
  </si>
  <si>
    <t>Источники доходов</t>
  </si>
  <si>
    <t>Сумма</t>
  </si>
  <si>
    <t xml:space="preserve">Дотации из Фонда финансовой поддержки Гатчинского муниципального района </t>
  </si>
  <si>
    <t xml:space="preserve">В.т.ч. дотации из Фонда финансовой поддержки Ленинградской области </t>
  </si>
  <si>
    <t>Субсидии на капитальный ремонт и ремонт автомобильных дорог общего пользования местного значения, предоставляемые за счет средств дорожного фонда Ленинградской области</t>
  </si>
  <si>
    <t>Прочие субсидии поселениям</t>
  </si>
  <si>
    <t>Субвенции бюджетам поселений на осуществление полномочий в сфере административных правоотношений</t>
  </si>
  <si>
    <t>ИТОГО</t>
  </si>
  <si>
    <t>2 02 15001 10 0000 150</t>
  </si>
  <si>
    <t>2 02 20216 10 0000 150</t>
  </si>
  <si>
    <t>2 02 30024 10 0000 150</t>
  </si>
  <si>
    <t>2 02 29999 10 0000 150</t>
  </si>
  <si>
    <t>2 02 35118 10 0000 150</t>
  </si>
  <si>
    <t>2 02 49999 10 0000 150</t>
  </si>
  <si>
    <t>(тысяч рублей)              2021 год</t>
  </si>
  <si>
    <t>(тысяч рублей)       2022 год</t>
  </si>
  <si>
    <t>(тысяч рублей)    2023 год</t>
  </si>
  <si>
    <t>Код бюджетной классификации</t>
  </si>
  <si>
    <t>2 02 25497 10 0000 150</t>
  </si>
  <si>
    <t>7Ц.3.00L5760</t>
  </si>
  <si>
    <t>Приложение 6</t>
  </si>
  <si>
    <t xml:space="preserve">к Решению Совета депутатов </t>
  </si>
  <si>
    <t>Код раздела</t>
  </si>
  <si>
    <t>2021 г.Сумма (тыс.руб.)</t>
  </si>
  <si>
    <t>2022 г.Сумма (тыс.руб.)</t>
  </si>
  <si>
    <t>Общегосударственные вопросы</t>
  </si>
  <si>
    <t>Функционирование закон-х представительных органов МО</t>
  </si>
  <si>
    <t>Функционирование местных администраций</t>
  </si>
  <si>
    <t>Резервные фонды органов местного самоуправления</t>
  </si>
  <si>
    <t>Национальная оборона</t>
  </si>
  <si>
    <t>Осуществление первичного воинского учета на территориях, где отсутствуютвоенные комиссариаты</t>
  </si>
  <si>
    <t>Национальная безопасность и правоохранительная деятельность</t>
  </si>
  <si>
    <t>Защита населения и территории от последствий чрезвычайных ситуаций, гражданская оборона</t>
  </si>
  <si>
    <t>Национальная экономика</t>
  </si>
  <si>
    <t>Дорожное хозяйство</t>
  </si>
  <si>
    <t>Жилищно-коммунальное хозяйство</t>
  </si>
  <si>
    <t>Образование</t>
  </si>
  <si>
    <t>Культура, кинематография, средства массовой информации</t>
  </si>
  <si>
    <t xml:space="preserve">Культура </t>
  </si>
  <si>
    <t xml:space="preserve">Социальная политика </t>
  </si>
  <si>
    <t>Социальная поддержка отдельных категорий граждан</t>
  </si>
  <si>
    <t>Здравоохранение, физическая культура и спорт</t>
  </si>
  <si>
    <t>Физическая культура и спорт</t>
  </si>
  <si>
    <t>Другие вопросы в области здр-я и физ.культ.спорта</t>
  </si>
  <si>
    <t>0910</t>
  </si>
  <si>
    <t>Комитет социальной защиты Гатчинского МР (МЦП Доп. Меры соцподдержки)</t>
  </si>
  <si>
    <t>1006</t>
  </si>
  <si>
    <t>Иные  межбюджетные трансферты</t>
  </si>
  <si>
    <t>1104</t>
  </si>
  <si>
    <t>ВСЕГО РАСХОДОВ</t>
  </si>
  <si>
    <t>Дефицит бюджета</t>
  </si>
  <si>
    <t>Контрольные цифры</t>
  </si>
  <si>
    <t>2023 г.Сумма (тыс.руб.)</t>
  </si>
  <si>
    <t>№ п/п</t>
  </si>
  <si>
    <t xml:space="preserve">  </t>
  </si>
  <si>
    <t xml:space="preserve">     Приложение №12</t>
  </si>
  <si>
    <t xml:space="preserve">             к Решению Совета депутатов</t>
  </si>
  <si>
    <t>Наименование муниципальной программы</t>
  </si>
  <si>
    <t>Раздел</t>
  </si>
  <si>
    <t>Дата и номер нормативного документа</t>
  </si>
  <si>
    <t>Главный распорядитель бюджетных средств</t>
  </si>
  <si>
    <t>Утверждено  на 2009 год (тыс.руб.)</t>
  </si>
  <si>
    <t>Уточненный на 01.10 2009 год (тыс.руб.)</t>
  </si>
  <si>
    <t>Заявка на  2010 год (тыс.руб.)</t>
  </si>
  <si>
    <t>Изменения (+, -)</t>
  </si>
  <si>
    <t>% к 2009 году</t>
  </si>
  <si>
    <t>Муниципальная программа "Социально - экономическое  развитие  муниципального образования "Пудомягское сельское поселение" Гатчинского муниципального района  Ленинградской области на 2018-2020 гг."</t>
  </si>
  <si>
    <t>Администрация Пудомягского сельского поселения</t>
  </si>
  <si>
    <t>Подпрограмма 1. "Создание условий для экономического развития Пудомягского сельского поселения"</t>
  </si>
  <si>
    <t>Подпрограмма 2. "Обеспечение бедопасности на территории Пудомягского сельского поселения"</t>
  </si>
  <si>
    <t>Подпрограмма 3. "Жилищно-коммунальное хозяйство, содержание автомобильных дорог и благоустройство территории Пудомягского сельского поселения"</t>
  </si>
  <si>
    <t>Подпрограмма 4. "Развитие культуры и спорта, организация праздничных мероприятий на территории Пудомягского сельского поселения"</t>
  </si>
  <si>
    <t>0801       1102</t>
  </si>
  <si>
    <t>Администрация Пудомягского сельского поселения МКУК "Пудомягский КДЦ"</t>
  </si>
  <si>
    <t>Подпрограмма 5. "Развитие молодежной политики"</t>
  </si>
  <si>
    <t>Подпрограмма 6. "Формирование комфортной городской среды"</t>
  </si>
  <si>
    <t>Распределение бюджетных ассигнований на реализацию  муниципальной  программы  бюджета Пудомягского сельского поселения  на 2021 год и плановый период 2022-2023 гг.</t>
  </si>
  <si>
    <t>Подпрограмма 7 "Формирование законопослушного поведения участников дорожного движения в муниципальном образовании «Пудомягское сельское  поселение"</t>
  </si>
  <si>
    <t>0500, 0400</t>
  </si>
  <si>
    <t>Постановление Администрации Пудомягского сельского поселения от 14.09.2020  № 392</t>
  </si>
  <si>
    <t>УУР</t>
  </si>
  <si>
    <t>Расчет</t>
  </si>
  <si>
    <t>Итого с УУР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</si>
  <si>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</si>
  <si>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Подпрограмма 1."Создание условий для экономического развития Пудомягского сельского поселения"</t>
  </si>
  <si>
    <t xml:space="preserve">Распределение бюджетных ассигнований по разделам и подразделам, классификации расходов бюджета Пудомягского сельского поселения  на 2021 год и плановый период 2022-20223годов                    </t>
  </si>
  <si>
    <t>получаемые из других бюджетов в 2021 году и плановый период 2022-2023 годов</t>
  </si>
  <si>
    <t>7Ц.3.00S4841</t>
  </si>
  <si>
    <t>7Ц.3.00.S4310</t>
  </si>
  <si>
    <t>247</t>
  </si>
  <si>
    <t>4.7.Прочая закупка товаров,работ и услуг для обеспечения государственных (муниципальных) нужд</t>
  </si>
  <si>
    <t>4.8. Мероприятия по обеспечению деятельности муниципальных библиотек</t>
  </si>
  <si>
    <t xml:space="preserve">4.9.Фонд оплаты труда казенных учреждений </t>
  </si>
  <si>
    <t>4.10.Взносы по обязательному социальному страхованию на выплатыпо оплате труда и иные выплаты работникам казенных учреждений</t>
  </si>
  <si>
    <t>4.11.Прочая закупка товаров,работ и услуг для обеспечения государственных (муниципальных) нужд</t>
  </si>
  <si>
    <t xml:space="preserve">4.19.Взносы по обязательному социальному страхованию на выплаты по оплате труда работников </t>
  </si>
  <si>
    <t>4.20.Спорт</t>
  </si>
  <si>
    <t>4.21.Проведение мероприятий в области спорта и физической культуры</t>
  </si>
  <si>
    <t>4.12.Прочая закупка товаров,работ и услуг для обеспечения государственных (муниципальных) нужд</t>
  </si>
  <si>
    <t>4.13.Иные выплаты персоналу казенных учреждений</t>
  </si>
  <si>
    <t>4.14.Проведение культурно-массовых мероприятий к праздничным и памятным датам</t>
  </si>
  <si>
    <t>4.15.Стимулирующие выплаты работникам культуры</t>
  </si>
  <si>
    <t>4.16.Стимулирующие выплаты работниккам культуры</t>
  </si>
  <si>
    <t xml:space="preserve">4.19.Фонд оплаты труда казенных учреждений </t>
  </si>
  <si>
    <t>Прогнозируемые доходы бюджета Пудомягского сельского поселения на  2021 год</t>
  </si>
  <si>
    <t xml:space="preserve">Изменения </t>
  </si>
  <si>
    <t>Утверждено бюджет Пудомягского сельского поселения на очередной 2021 год</t>
  </si>
  <si>
    <t>Изменения 2022 года</t>
  </si>
  <si>
    <t>Изменения</t>
  </si>
  <si>
    <t>Утверждено Бюджет Пудомягского сельского поселения на плановый 2022 год</t>
  </si>
  <si>
    <t>Утверждено Бюджет Пудомягского сельского поселения на плановый 2023 год</t>
  </si>
  <si>
    <t>Утверждено Бюджет Пудомягского сельского поселения на плановый 2021 год</t>
  </si>
  <si>
    <t>Прогнозируемые доходы бюджета Пудомягского сельского поселения на  2021г.</t>
  </si>
  <si>
    <r>
      <t xml:space="preserve">Субвенции бюджетам сельских поселений на осуществление полномочий в сфере административных правонарушений  </t>
    </r>
    <r>
      <rPr>
        <b/>
        <sz val="10"/>
        <color rgb="FF000000"/>
        <rFont val="Times New Roman"/>
        <family val="1"/>
        <charset val="204"/>
      </rPr>
      <t xml:space="preserve">                                 Код цели 3038</t>
    </r>
  </si>
  <si>
    <r>
  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            </t>
    </r>
    <r>
      <rPr>
        <b/>
        <sz val="10"/>
        <color rgb="FF000000"/>
        <rFont val="Times New Roman"/>
        <family val="1"/>
        <charset val="204"/>
      </rPr>
      <t>Код цели 20-51180-00000-00000</t>
    </r>
  </si>
  <si>
    <t>611 2 022 5576 10 0000 150</t>
  </si>
  <si>
    <t>Субсидии бюджетам сельских поселений на обеспечение комплексного развития сельских территорий</t>
  </si>
  <si>
    <t>611 2 02 20302 10 0000 150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</si>
  <si>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</si>
  <si>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r>
      <t xml:space="preserve">Прочие субсидии бюджетам поселений        </t>
    </r>
    <r>
      <rPr>
        <b/>
        <sz val="9"/>
        <color rgb="FF000000"/>
        <rFont val="Times New Roman"/>
        <family val="1"/>
        <charset val="204"/>
      </rPr>
      <t>Код цели 1022</t>
    </r>
  </si>
  <si>
    <r>
      <t xml:space="preserve">Прочие субсидии бюджетам поселений       </t>
    </r>
    <r>
      <rPr>
        <b/>
        <sz val="9"/>
        <color rgb="FF000000"/>
        <rFont val="Times New Roman"/>
        <family val="1"/>
        <charset val="204"/>
      </rPr>
      <t>Код цели 1055</t>
    </r>
  </si>
  <si>
    <r>
      <t xml:space="preserve">Прочие субсидии бюджетам поселений </t>
    </r>
    <r>
      <rPr>
        <b/>
        <sz val="9"/>
        <color rgb="FF000000"/>
        <rFont val="Times New Roman"/>
        <family val="1"/>
        <charset val="204"/>
      </rPr>
      <t>Код цели 1089</t>
    </r>
  </si>
  <si>
    <r>
      <t xml:space="preserve">Прочие субсидии бюджетам поселений </t>
    </r>
    <r>
      <rPr>
        <b/>
        <sz val="9"/>
        <color rgb="FF000000"/>
        <rFont val="Times New Roman"/>
        <family val="1"/>
        <charset val="204"/>
      </rPr>
      <t>Код цели 1077</t>
    </r>
  </si>
  <si>
    <r>
      <t xml:space="preserve">Прочие субсидии бюджетам поселений </t>
    </r>
    <r>
      <rPr>
        <b/>
        <sz val="9"/>
        <color rgb="FF000000"/>
        <rFont val="Times New Roman"/>
        <family val="1"/>
        <charset val="204"/>
      </rPr>
      <t>Код цели 1083</t>
    </r>
  </si>
  <si>
    <r>
      <t xml:space="preserve">Прочие субсидии бюджетам поселений  </t>
    </r>
    <r>
      <rPr>
        <b/>
        <sz val="9"/>
        <color rgb="FF000000"/>
        <rFont val="Times New Roman"/>
        <family val="1"/>
        <charset val="204"/>
      </rPr>
      <t xml:space="preserve"> Код цели 1084</t>
    </r>
  </si>
  <si>
    <r>
      <t xml:space="preserve">Прочие субсидии бюджетам поселений      </t>
    </r>
    <r>
      <rPr>
        <b/>
        <sz val="9"/>
        <color rgb="FF000000"/>
        <rFont val="Times New Roman"/>
        <family val="1"/>
        <charset val="204"/>
      </rPr>
      <t xml:space="preserve">  Код цели 1090</t>
    </r>
  </si>
  <si>
    <r>
      <t xml:space="preserve">Прочие межбюджетные трансферты, передаваемые бюджетам сельских поселений   </t>
    </r>
    <r>
      <rPr>
        <b/>
        <sz val="10"/>
        <color rgb="FF000000"/>
        <rFont val="Times New Roman"/>
        <family val="1"/>
        <charset val="204"/>
      </rPr>
      <t>Код цели 54</t>
    </r>
  </si>
  <si>
    <t>7Ц300S4860</t>
  </si>
  <si>
    <t>транспортный налог и госпошлина</t>
  </si>
  <si>
    <t>3.3.Перечисление ежемесячных взносов в фонд капитального ремонта</t>
  </si>
  <si>
    <t>3.4. мероприятий по переселению граждан из аварийного жилищного фонда</t>
  </si>
  <si>
    <t>3.5. мероприятий по переселению граждан из аварийного жилищного фонда (средства поселений)</t>
  </si>
  <si>
    <t>3.6.Проведение мероприятий по организации уличного освещения</t>
  </si>
  <si>
    <t>3.7.Проведение мероприятий по организации уличного освещения</t>
  </si>
  <si>
    <t>3.8.Уплата иных платежей</t>
  </si>
  <si>
    <t>3.9. Проведение мероприятий по озеленению территории поселения</t>
  </si>
  <si>
    <t>3.10. Прочие мероприятия по благоустройству территории поселения</t>
  </si>
  <si>
    <t>3.11.Реализация областного закона 3-оз</t>
  </si>
  <si>
    <t>3.12.Реализация областного закона 3-оз средства ПСП</t>
  </si>
  <si>
    <t>3.13. Прочие мероприятия по благоустройству территории поселения</t>
  </si>
  <si>
    <t>3.14. Прочие мероприятия по благоустройству территории поселения (средства поселений)</t>
  </si>
  <si>
    <t>3.15.Строительство и содержание автомобильных дорог и инженерных сооружений на них в границах муниципальных образований</t>
  </si>
  <si>
    <t>3.16.Строительство и содержание автомобильных дорог и инженерных сооружений на них в границах муниципальных образований</t>
  </si>
  <si>
    <t>3.17. Капитальный ремонт и ремонт автомобильных дорог общего пользования местного значения</t>
  </si>
  <si>
    <t>3.18. Капитальный ремонт и ремонт автомобильных дорог общего пользования местного значения (средства поселения)</t>
  </si>
  <si>
    <t>дефицит</t>
  </si>
  <si>
    <t>не более 10%</t>
  </si>
  <si>
    <t>7Ц.1.00.S4850</t>
  </si>
  <si>
    <t>1.3. Проведение кадастровых работ в целях образования земельных участков для размещения кладбища</t>
  </si>
  <si>
    <t>1.4. Проведение кадастровых работ в целях образования земельных участков для размещения кладбища (средства поселения)</t>
  </si>
  <si>
    <t>Прогнозируемые доходы бюджета Пудомягского сельского поселения на  2022 год</t>
  </si>
  <si>
    <t>Прогнозируемые доходы бюджета Пудомягского сельского поселения на  2023 год</t>
  </si>
  <si>
    <t>Прогнозируемые доходы бюджета Пудомягского сельского поселения на  2022год</t>
  </si>
  <si>
    <r>
      <t xml:space="preserve">Субсидии бюджетам сельских поселений на обеспечение комплексного развития сельских территорий                              </t>
    </r>
    <r>
      <rPr>
        <b/>
        <sz val="10"/>
        <color rgb="FF000000"/>
        <rFont val="Times New Roman"/>
        <family val="1"/>
        <charset val="204"/>
      </rPr>
      <t xml:space="preserve"> Код цели 1093</t>
    </r>
  </si>
  <si>
    <r>
      <t xml:space="preserve">Субсидии бюджетам сельских поселений на обеспечение комплексного развития сельских территорий                              </t>
    </r>
    <r>
      <rPr>
        <b/>
        <sz val="10"/>
        <color rgb="FF000000"/>
        <rFont val="Times New Roman"/>
        <family val="1"/>
        <charset val="204"/>
      </rPr>
      <t xml:space="preserve"> Код цели 21-55760-00000-02000</t>
    </r>
  </si>
  <si>
    <r>
  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  </r>
    <r>
      <rPr>
        <b/>
        <sz val="10"/>
        <color rgb="FF000000"/>
        <rFont val="Times New Roman"/>
        <family val="1"/>
        <charset val="204"/>
      </rPr>
      <t xml:space="preserve"> Код цели 2044</t>
    </r>
  </si>
  <si>
    <r>
      <t xml:space="preserve">Субсидии на капитальный ремонт и ремонт автомобильных дорог общего пользования местного значения </t>
    </r>
    <r>
      <rPr>
        <b/>
        <sz val="10"/>
        <color rgb="FF000000"/>
        <rFont val="Times New Roman"/>
        <family val="1"/>
        <charset val="204"/>
      </rPr>
      <t>Код цели 1043</t>
    </r>
  </si>
  <si>
    <r>
      <t xml:space="preserve">Прочие межбюджетные трансферты, передаваемые бюджетам сельских поселений   </t>
    </r>
    <r>
      <rPr>
        <b/>
        <sz val="10"/>
        <color rgb="FF000000"/>
        <rFont val="Times New Roman"/>
        <family val="1"/>
        <charset val="204"/>
      </rPr>
      <t>Код цели 10</t>
    </r>
  </si>
  <si>
    <t>Иные платежи</t>
  </si>
  <si>
    <t>6290015040</t>
  </si>
  <si>
    <t>831</t>
  </si>
  <si>
    <t>7Ц.3.00S4200</t>
  </si>
  <si>
    <t>3.22.Реализация областного закона 147-оз средства ПСП</t>
  </si>
  <si>
    <t>3.23.Комплексное развитие сельских территорий Ленинградской области</t>
  </si>
  <si>
    <t xml:space="preserve">3.24.Комплексное развитие сельских территорий Ленинградской области </t>
  </si>
  <si>
    <t>3.25.Комплексное развитие сельских территорий Ленинградской области (средства поселений)</t>
  </si>
  <si>
    <t>3.26.Комплексное развитие сельских территорий Ленинградской области (средства поселений)</t>
  </si>
  <si>
    <t xml:space="preserve">3.27.Комплексное развитие сельских территорий Ленинградской области </t>
  </si>
  <si>
    <t>3.28.Комплексное развитие сельских территорий Ленинградской области средства ПСП</t>
  </si>
  <si>
    <t>3.29. Прочая закупка товаров, работ и услуг для обеспечения государственных (муниципальных) нужд</t>
  </si>
  <si>
    <t>3.30. Прочая закупка товаров, работ и услуг для обеспечения государственных (муниципальных) нужд средства ПСП</t>
  </si>
  <si>
    <t>3.31. Прочая закупка товаров, работ и услуг для обеспечения государственных (муниципальных) нужд</t>
  </si>
  <si>
    <t>3.32. Прочая закупка товаров, работ и услуг для обеспечения государственных (муниципальных) нужд средства ПСП</t>
  </si>
  <si>
    <t>3.33.Мероприятия подпрограммы жилья для молодежи</t>
  </si>
  <si>
    <t>3.34.Мероприятия подпрограммы жилья для молодежи средства ПСП</t>
  </si>
  <si>
    <t>3.19. Капитальный ремонт и ремонт автомобильных дорог общего пользования местного значения</t>
  </si>
  <si>
    <t>3.20. Капитальный ремонт и ремонт автомобильных дорог общего пользования местного значения средства поселения</t>
  </si>
  <si>
    <t>3.21.Реализация областного закона 147-оз</t>
  </si>
  <si>
    <t>7Ц.3.00S5670</t>
  </si>
  <si>
    <t>от _____.____.2021 №____</t>
  </si>
  <si>
    <r>
      <t xml:space="preserve">Прочие межбюджетные трансферты, передаваемые бюджетам сельских поселений   </t>
    </r>
    <r>
      <rPr>
        <b/>
        <sz val="10"/>
        <color rgb="FF000000"/>
        <rFont val="Times New Roman"/>
        <family val="1"/>
        <charset val="204"/>
      </rPr>
      <t>Код цели 58</t>
    </r>
  </si>
  <si>
    <r>
      <t xml:space="preserve">Прочие межбюджетные трансферты, передаваемые бюджетам сельских поселений   </t>
    </r>
    <r>
      <rPr>
        <b/>
        <sz val="10"/>
        <color rgb="FF000000"/>
        <rFont val="Times New Roman"/>
        <family val="1"/>
        <charset val="204"/>
      </rPr>
      <t>Код цели 32</t>
    </r>
  </si>
  <si>
    <r>
      <t xml:space="preserve">Прочие межбюджетные трансферты, передаваемые бюджетам сельских поселений   </t>
    </r>
    <r>
      <rPr>
        <b/>
        <sz val="10"/>
        <color rgb="FF000000"/>
        <rFont val="Times New Roman"/>
        <family val="1"/>
        <charset val="204"/>
      </rPr>
      <t>Код цели 62</t>
    </r>
  </si>
  <si>
    <r>
      <t xml:space="preserve">Прочие субсидии бюджетам поселений </t>
    </r>
    <r>
      <rPr>
        <b/>
        <sz val="9"/>
        <color rgb="FF000000"/>
        <rFont val="Times New Roman"/>
        <family val="1"/>
        <charset val="204"/>
      </rPr>
      <t>Код цели 1099</t>
    </r>
  </si>
  <si>
    <t>6170055490</t>
  </si>
  <si>
    <t>6180055490</t>
  </si>
  <si>
    <t>0310</t>
  </si>
  <si>
    <t>7Ц.3.00S4960</t>
  </si>
  <si>
    <t>3.31. Прочая закупка товаров, работ и услуг для обеспечения государственных (муниципальных) нужд средства ПСП</t>
  </si>
  <si>
    <t>от 21.10.2021 №124</t>
  </si>
  <si>
    <t>Всего</t>
  </si>
  <si>
    <t>7Ц.4.00.15340</t>
  </si>
  <si>
    <t>02</t>
  </si>
  <si>
    <t>11</t>
  </si>
  <si>
    <t>Прочая закупка товаров, работ и услуг</t>
  </si>
  <si>
    <t>00</t>
  </si>
  <si>
    <t>04</t>
  </si>
  <si>
    <t>10</t>
  </si>
  <si>
    <t>Фонд оплаты труда учреждений</t>
  </si>
  <si>
    <t>7Ц.3.00.L4970</t>
  </si>
  <si>
    <t>Субсидии гражданам на приобретение жилья</t>
  </si>
  <si>
    <t>62.9.00.15280</t>
  </si>
  <si>
    <t>01</t>
  </si>
  <si>
    <t>7Ц.4.00.S0360</t>
  </si>
  <si>
    <t>08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</si>
  <si>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</si>
  <si>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Закупка энергетических ресурсов</t>
  </si>
  <si>
    <t>Иные выплаты персоналу учреждений, за исключением фонда оплаты труда</t>
  </si>
  <si>
    <t>Уплата прочих налогов, сборов</t>
  </si>
  <si>
    <t>Закупка товаров, работ, услуг в сфере информационно-коммуникационных технологий</t>
  </si>
  <si>
    <t>07</t>
  </si>
  <si>
    <t>Молодежная политика</t>
  </si>
  <si>
    <t>03</t>
  </si>
  <si>
    <t>05</t>
  </si>
  <si>
    <t>7Ц.3.00.S5670</t>
  </si>
  <si>
    <t>7Ц.3.00.S4960</t>
  </si>
  <si>
    <t>7Ц.3.00.S4841</t>
  </si>
  <si>
    <t>7Ц.3.00.S4790</t>
  </si>
  <si>
    <t>7Ц.3.00.L5760</t>
  </si>
  <si>
    <t>62.9.00.15200</t>
  </si>
  <si>
    <t>62.9.00.13070</t>
  </si>
  <si>
    <t>412</t>
  </si>
  <si>
    <t>7Ц.3.00.S4860</t>
  </si>
  <si>
    <t>Бюджетные инвестиции на приобретение объектов недвижимого имущества в государственную (муниципальную) собственность</t>
  </si>
  <si>
    <t>7Ц.3.00.15200</t>
  </si>
  <si>
    <t>62.9.00.13030</t>
  </si>
  <si>
    <t>62.9.00.13010</t>
  </si>
  <si>
    <t>12</t>
  </si>
  <si>
    <t>09</t>
  </si>
  <si>
    <t>7Ц.3.00.S4770</t>
  </si>
  <si>
    <t>7Ц.3.00.S4200</t>
  </si>
  <si>
    <t>14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</si>
  <si>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</si>
  <si>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</si>
  <si>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</si>
  <si>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62.9.00.51180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</si>
  <si>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</si>
  <si>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Фонд оплаты труда государственных (муниципальных) органов</t>
  </si>
  <si>
    <t>62.9.00.17110</t>
  </si>
  <si>
    <t>13</t>
  </si>
  <si>
    <t>62.9.00.15040</t>
  </si>
  <si>
    <t>Исполнение судебных актов Российской Федерации и мировых соглашений по возмещению причиненного вреда</t>
  </si>
  <si>
    <t>62.9.00.15020</t>
  </si>
  <si>
    <t>62.9.00.13150</t>
  </si>
  <si>
    <t>06</t>
  </si>
  <si>
    <t>62.9.00.13060</t>
  </si>
  <si>
    <t>62.9.00.13020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</si>
  <si>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</si>
  <si>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62.9.00.16271</t>
  </si>
  <si>
    <t>61.8.00.71340</t>
  </si>
  <si>
    <t>61.8.00.55490</t>
  </si>
  <si>
    <t>61.8.00.15070</t>
  </si>
  <si>
    <t>61.8.00.11030</t>
  </si>
  <si>
    <t>61.7.00.55490</t>
  </si>
  <si>
    <t>61.7.00.11040</t>
  </si>
  <si>
    <t>61.7.00.11020</t>
  </si>
  <si>
    <t>61.8.00.11050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</si>
  <si>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</si>
  <si>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2023 г.</t>
  </si>
  <si>
    <t>2022 г.</t>
  </si>
  <si>
    <t>2021 г.</t>
  </si>
  <si>
    <r>
      <t xml:space="preserve">Прочие межбюджетные трансферты, передаваемые бюджетам сельских поселений   </t>
    </r>
    <r>
      <rPr>
        <b/>
        <sz val="10"/>
        <color rgb="FF000000"/>
        <rFont val="Times New Roman"/>
        <family val="1"/>
        <charset val="204"/>
      </rPr>
      <t>Код цели 14</t>
    </r>
  </si>
  <si>
    <t>от 16.12.2021 №134</t>
  </si>
  <si>
    <t xml:space="preserve"> 2021 год       (тыс.руб.)</t>
  </si>
  <si>
    <t xml:space="preserve"> 2022 год       (тыс.руб.)</t>
  </si>
  <si>
    <t xml:space="preserve"> 2023 год       (тыс.руб.)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</si>
</sst>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10419]###\ ###\ ###\ ###\ ##0.00"/>
    <numFmt numFmtId="165" formatCode="0.0"/>
    <numFmt numFmtId="166" formatCode="?"/>
  </numFmts>
  <fonts count="55" x14ac:knownFonts="1">
    <font>
      <sz val="10"/>
      <name val="Arial"/>
    </font>
    <font>
      <sz val="10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8"/>
      <color theme="1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Calibri"/>
      <family val="2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name val="Arial Cyr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9"/>
      <name val="Arial Cyr"/>
      <charset val="204"/>
    </font>
    <font>
      <sz val="11"/>
      <name val="Times New Roman"/>
      <family val="1"/>
    </font>
    <font>
      <sz val="10"/>
      <name val="Times New Roman"/>
      <family val="1"/>
    </font>
    <font>
      <u/>
      <sz val="11"/>
      <name val="Times New Roman"/>
      <family val="1"/>
    </font>
    <font>
      <sz val="12"/>
      <name val="Times New Roman"/>
      <family val="1"/>
      <charset val="204"/>
    </font>
    <font>
      <sz val="14"/>
      <name val="Arial Cyr"/>
      <charset val="204"/>
    </font>
    <font>
      <b/>
      <sz val="11"/>
      <name val="Arial Cyr"/>
      <charset val="204"/>
    </font>
    <font>
      <sz val="14"/>
      <name val="Arial"/>
      <family val="2"/>
      <charset val="204"/>
    </font>
    <font>
      <b/>
      <sz val="8"/>
      <color rgb="FFFF0000"/>
      <name val="Arial"/>
      <family val="2"/>
      <charset val="204"/>
    </font>
    <font>
      <sz val="9"/>
      <name val="Arial"/>
      <family val="2"/>
      <charset val="204"/>
    </font>
    <font>
      <sz val="10"/>
      <color rgb="FFFF0000"/>
      <name val="Arial"/>
      <family val="2"/>
      <charset val="204"/>
    </font>
    <font>
      <sz val="11"/>
      <name val="Arial"/>
      <family val="2"/>
      <charset val="204"/>
    </font>
    <font>
      <b/>
      <sz val="9"/>
      <color theme="1"/>
      <name val="Arial"/>
      <family val="2"/>
      <charset val="204"/>
    </font>
    <font>
      <b/>
      <i/>
      <sz val="8"/>
      <name val="Arial"/>
      <family val="2"/>
      <charset val="204"/>
    </font>
    <font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indexed="12"/>
      <name val="Arial Cyr"/>
      <charset val="204"/>
    </font>
    <font>
      <b/>
      <sz val="10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color indexed="0"/>
      <name val="Times New Roman"/>
      <family val="1"/>
      <charset val="204"/>
    </font>
    <font>
      <i/>
      <sz val="1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2" fillId="0" borderId="0"/>
    <xf numFmtId="0" fontId="48" fillId="0" borderId="0"/>
  </cellStyleXfs>
  <cellXfs count="555">
    <xf numFmtId="0" fontId="0" fillId="0" borderId="0" xfId="0"/>
    <xf numFmtId="0" fontId="1" fillId="0" borderId="0" xfId="0" applyFont="1"/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right" wrapText="1"/>
    </xf>
    <xf numFmtId="49" fontId="3" fillId="3" borderId="1" xfId="0" applyNumberFormat="1" applyFont="1" applyFill="1" applyBorder="1" applyAlignment="1">
      <alignment horizontal="left"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4" xfId="0" applyNumberFormat="1" applyFont="1" applyFill="1" applyBorder="1" applyAlignment="1">
      <alignment horizontal="center" vertical="top" wrapText="1"/>
    </xf>
    <xf numFmtId="49" fontId="3" fillId="0" borderId="7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49" fontId="4" fillId="0" borderId="7" xfId="0" applyNumberFormat="1" applyFont="1" applyFill="1" applyBorder="1" applyAlignment="1">
      <alignment horizontal="left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righ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4" fontId="4" fillId="0" borderId="3" xfId="0" applyNumberFormat="1" applyFont="1" applyFill="1" applyBorder="1" applyAlignment="1">
      <alignment horizontal="right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right" vertical="top" wrapText="1"/>
    </xf>
    <xf numFmtId="49" fontId="3" fillId="3" borderId="2" xfId="0" applyNumberFormat="1" applyFont="1" applyFill="1" applyBorder="1" applyAlignment="1">
      <alignment horizontal="center" vertical="top" wrapText="1"/>
    </xf>
    <xf numFmtId="4" fontId="3" fillId="3" borderId="2" xfId="0" applyNumberFormat="1" applyFont="1" applyFill="1" applyBorder="1" applyAlignment="1">
      <alignment horizontal="right" vertical="top" wrapText="1"/>
    </xf>
    <xf numFmtId="49" fontId="4" fillId="0" borderId="4" xfId="0" applyNumberFormat="1" applyFont="1" applyFill="1" applyBorder="1" applyAlignment="1">
      <alignment horizontal="left" vertical="top" wrapText="1"/>
    </xf>
    <xf numFmtId="49" fontId="4" fillId="0" borderId="4" xfId="0" applyNumberFormat="1" applyFont="1" applyFill="1" applyBorder="1" applyAlignment="1">
      <alignment horizontal="center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top" wrapText="1"/>
    </xf>
    <xf numFmtId="4" fontId="4" fillId="3" borderId="2" xfId="0" applyNumberFormat="1" applyFont="1" applyFill="1" applyBorder="1" applyAlignment="1">
      <alignment horizontal="right" vertical="top" wrapText="1"/>
    </xf>
    <xf numFmtId="0" fontId="1" fillId="0" borderId="10" xfId="0" applyFont="1" applyBorder="1"/>
    <xf numFmtId="0" fontId="1" fillId="2" borderId="0" xfId="0" applyFont="1" applyFill="1"/>
    <xf numFmtId="4" fontId="1" fillId="0" borderId="0" xfId="0" applyNumberFormat="1" applyFont="1"/>
    <xf numFmtId="4" fontId="4" fillId="2" borderId="2" xfId="0" applyNumberFormat="1" applyFont="1" applyFill="1" applyBorder="1" applyAlignment="1">
      <alignment horizontal="right" vertical="top" wrapText="1"/>
    </xf>
    <xf numFmtId="49" fontId="4" fillId="0" borderId="3" xfId="0" applyNumberFormat="1" applyFont="1" applyFill="1" applyBorder="1" applyAlignment="1">
      <alignment horizontal="left" vertical="top" wrapText="1"/>
    </xf>
    <xf numFmtId="49" fontId="4" fillId="0" borderId="7" xfId="0" applyNumberFormat="1" applyFont="1" applyFill="1" applyBorder="1" applyAlignment="1">
      <alignment horizontal="center" vertical="top" wrapText="1"/>
    </xf>
    <xf numFmtId="4" fontId="4" fillId="0" borderId="7" xfId="0" applyNumberFormat="1" applyFont="1" applyFill="1" applyBorder="1" applyAlignment="1">
      <alignment horizontal="right" vertical="top" wrapText="1"/>
    </xf>
    <xf numFmtId="49" fontId="4" fillId="0" borderId="2" xfId="0" applyNumberFormat="1" applyFont="1" applyFill="1" applyBorder="1" applyAlignment="1">
      <alignment horizontal="left" vertical="top" wrapText="1"/>
    </xf>
    <xf numFmtId="49" fontId="3" fillId="3" borderId="11" xfId="0" applyNumberFormat="1" applyFont="1" applyFill="1" applyBorder="1" applyAlignment="1">
      <alignment horizontal="left" vertical="top" wrapText="1"/>
    </xf>
    <xf numFmtId="49" fontId="3" fillId="3" borderId="12" xfId="0" applyNumberFormat="1" applyFont="1" applyFill="1" applyBorder="1" applyAlignment="1">
      <alignment horizontal="center" vertical="top" wrapText="1"/>
    </xf>
    <xf numFmtId="4" fontId="3" fillId="3" borderId="12" xfId="0" applyNumberFormat="1" applyFont="1" applyFill="1" applyBorder="1" applyAlignment="1">
      <alignment horizontal="right" vertical="top" wrapText="1"/>
    </xf>
    <xf numFmtId="49" fontId="4" fillId="0" borderId="14" xfId="0" applyNumberFormat="1" applyFont="1" applyFill="1" applyBorder="1" applyAlignment="1">
      <alignment horizontal="left" vertical="top" wrapText="1"/>
    </xf>
    <xf numFmtId="0" fontId="8" fillId="0" borderId="1" xfId="0" applyFont="1" applyBorder="1" applyAlignment="1">
      <alignment vertical="center"/>
    </xf>
    <xf numFmtId="0" fontId="9" fillId="0" borderId="0" xfId="0" applyFont="1"/>
    <xf numFmtId="0" fontId="13" fillId="0" borderId="1" xfId="1" applyFont="1" applyBorder="1" applyAlignment="1">
      <alignment horizontal="center" vertical="center" wrapText="1" readingOrder="1"/>
    </xf>
    <xf numFmtId="0" fontId="14" fillId="0" borderId="1" xfId="1" applyFont="1" applyBorder="1" applyAlignment="1">
      <alignment horizontal="left" vertical="center" wrapText="1" readingOrder="1"/>
    </xf>
    <xf numFmtId="0" fontId="14" fillId="0" borderId="1" xfId="1" applyFont="1" applyBorder="1" applyAlignment="1">
      <alignment horizontal="center" vertical="center" wrapText="1" readingOrder="1"/>
    </xf>
    <xf numFmtId="164" fontId="15" fillId="0" borderId="1" xfId="1" applyNumberFormat="1" applyFont="1" applyBorder="1" applyAlignment="1">
      <alignment horizontal="right" vertical="center" wrapText="1" readingOrder="1"/>
    </xf>
    <xf numFmtId="164" fontId="13" fillId="0" borderId="1" xfId="1" applyNumberFormat="1" applyFont="1" applyBorder="1" applyAlignment="1">
      <alignment horizontal="right" vertical="center" wrapText="1" readingOrder="1"/>
    </xf>
    <xf numFmtId="0" fontId="13" fillId="0" borderId="1" xfId="1" applyFont="1" applyBorder="1" applyAlignment="1">
      <alignment horizontal="left" vertical="center" wrapText="1" readingOrder="1"/>
    </xf>
    <xf numFmtId="0" fontId="16" fillId="0" borderId="1" xfId="1" applyFont="1" applyBorder="1" applyAlignment="1">
      <alignment horizontal="center" vertical="center" wrapText="1" readingOrder="1"/>
    </xf>
    <xf numFmtId="0" fontId="15" fillId="0" borderId="1" xfId="1" applyFont="1" applyBorder="1" applyAlignment="1">
      <alignment horizontal="left" vertical="center" wrapText="1" readingOrder="1"/>
    </xf>
    <xf numFmtId="0" fontId="10" fillId="0" borderId="1" xfId="0" applyFont="1" applyBorder="1" applyAlignment="1">
      <alignment vertical="center"/>
    </xf>
    <xf numFmtId="4" fontId="4" fillId="2" borderId="15" xfId="0" applyNumberFormat="1" applyFont="1" applyFill="1" applyBorder="1" applyAlignment="1">
      <alignment horizontal="right" vertical="top" wrapText="1"/>
    </xf>
    <xf numFmtId="0" fontId="13" fillId="5" borderId="1" xfId="1" applyFont="1" applyFill="1" applyBorder="1" applyAlignment="1">
      <alignment horizontal="center" vertical="center" wrapText="1" readingOrder="1"/>
    </xf>
    <xf numFmtId="0" fontId="14" fillId="5" borderId="1" xfId="1" applyFont="1" applyFill="1" applyBorder="1" applyAlignment="1">
      <alignment horizontal="left" vertical="center" wrapText="1" readingOrder="1"/>
    </xf>
    <xf numFmtId="0" fontId="14" fillId="5" borderId="1" xfId="1" applyFont="1" applyFill="1" applyBorder="1" applyAlignment="1">
      <alignment horizontal="center" vertical="center" wrapText="1" readingOrder="1"/>
    </xf>
    <xf numFmtId="4" fontId="20" fillId="0" borderId="1" xfId="0" applyNumberFormat="1" applyFont="1" applyBorder="1"/>
    <xf numFmtId="4" fontId="10" fillId="0" borderId="1" xfId="0" applyNumberFormat="1" applyFont="1" applyBorder="1" applyAlignment="1">
      <alignment vertical="center"/>
    </xf>
    <xf numFmtId="4" fontId="13" fillId="2" borderId="1" xfId="1" applyNumberFormat="1" applyFont="1" applyFill="1" applyBorder="1" applyAlignment="1">
      <alignment horizontal="right" vertical="center" wrapText="1" readingOrder="1"/>
    </xf>
    <xf numFmtId="4" fontId="10" fillId="2" borderId="1" xfId="0" applyNumberFormat="1" applyFont="1" applyFill="1" applyBorder="1" applyAlignment="1">
      <alignment horizontal="right" vertical="center"/>
    </xf>
    <xf numFmtId="0" fontId="15" fillId="2" borderId="1" xfId="1" applyFont="1" applyFill="1" applyBorder="1" applyAlignment="1">
      <alignment horizontal="left" vertical="center" wrapText="1" readingOrder="1"/>
    </xf>
    <xf numFmtId="164" fontId="15" fillId="2" borderId="1" xfId="1" applyNumberFormat="1" applyFont="1" applyFill="1" applyBorder="1" applyAlignment="1">
      <alignment horizontal="right" vertical="center" wrapText="1" readingOrder="1"/>
    </xf>
    <xf numFmtId="164" fontId="13" fillId="5" borderId="1" xfId="1" applyNumberFormat="1" applyFont="1" applyFill="1" applyBorder="1" applyAlignment="1">
      <alignment horizontal="right" vertical="center" wrapText="1" readingOrder="1"/>
    </xf>
    <xf numFmtId="0" fontId="15" fillId="5" borderId="1" xfId="1" applyFont="1" applyFill="1" applyBorder="1" applyAlignment="1">
      <alignment horizontal="left" vertical="center" wrapText="1" readingOrder="1"/>
    </xf>
    <xf numFmtId="0" fontId="21" fillId="5" borderId="1" xfId="1" applyFont="1" applyFill="1" applyBorder="1" applyAlignment="1">
      <alignment horizontal="left" vertical="center" wrapText="1" readingOrder="1"/>
    </xf>
    <xf numFmtId="0" fontId="22" fillId="0" borderId="1" xfId="1" applyFont="1" applyBorder="1" applyAlignment="1">
      <alignment horizontal="left" vertical="center" wrapText="1" readingOrder="1"/>
    </xf>
    <xf numFmtId="0" fontId="23" fillId="0" borderId="1" xfId="1" applyFont="1" applyBorder="1" applyAlignment="1">
      <alignment horizontal="left" vertical="center" wrapText="1" readingOrder="1"/>
    </xf>
    <xf numFmtId="0" fontId="22" fillId="0" borderId="1" xfId="1" applyFont="1" applyBorder="1" applyAlignment="1">
      <alignment horizontal="center" vertical="center" wrapText="1" readingOrder="1"/>
    </xf>
    <xf numFmtId="0" fontId="24" fillId="0" borderId="1" xfId="1" applyFont="1" applyBorder="1" applyAlignment="1">
      <alignment horizontal="left" vertical="center" wrapText="1" readingOrder="1"/>
    </xf>
    <xf numFmtId="164" fontId="24" fillId="0" borderId="1" xfId="1" applyNumberFormat="1" applyFont="1" applyBorder="1" applyAlignment="1">
      <alignment horizontal="right" vertical="center" wrapText="1" readingOrder="1"/>
    </xf>
    <xf numFmtId="0" fontId="25" fillId="0" borderId="0" xfId="0" applyFont="1"/>
    <xf numFmtId="0" fontId="22" fillId="5" borderId="1" xfId="1" applyFont="1" applyFill="1" applyBorder="1" applyAlignment="1">
      <alignment horizontal="left" vertical="center" wrapText="1" readingOrder="1"/>
    </xf>
    <xf numFmtId="0" fontId="26" fillId="0" borderId="0" xfId="0" applyFont="1"/>
    <xf numFmtId="0" fontId="27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4" fontId="6" fillId="0" borderId="1" xfId="0" applyNumberFormat="1" applyFont="1" applyBorder="1" applyAlignment="1">
      <alignment horizontal="right" vertical="top" wrapText="1"/>
    </xf>
    <xf numFmtId="4" fontId="0" fillId="0" borderId="0" xfId="0" applyNumberFormat="1"/>
    <xf numFmtId="4" fontId="4" fillId="2" borderId="7" xfId="0" applyNumberFormat="1" applyFont="1" applyFill="1" applyBorder="1" applyAlignment="1">
      <alignment horizontal="right" vertical="top" wrapText="1"/>
    </xf>
    <xf numFmtId="49" fontId="4" fillId="0" borderId="23" xfId="0" applyNumberFormat="1" applyFont="1" applyFill="1" applyBorder="1" applyAlignment="1">
      <alignment horizontal="left" vertical="top" wrapText="1"/>
    </xf>
    <xf numFmtId="4" fontId="4" fillId="2" borderId="25" xfId="0" applyNumberFormat="1" applyFont="1" applyFill="1" applyBorder="1" applyAlignment="1">
      <alignment horizontal="right" vertical="top" wrapText="1"/>
    </xf>
    <xf numFmtId="4" fontId="4" fillId="2" borderId="1" xfId="0" applyNumberFormat="1" applyFont="1" applyFill="1" applyBorder="1" applyAlignment="1">
      <alignment horizontal="right" vertical="top" wrapText="1"/>
    </xf>
    <xf numFmtId="49" fontId="4" fillId="2" borderId="14" xfId="0" applyNumberFormat="1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4" fontId="4" fillId="2" borderId="17" xfId="0" applyNumberFormat="1" applyFont="1" applyFill="1" applyBorder="1" applyAlignment="1">
      <alignment horizontal="right" vertical="top" wrapText="1"/>
    </xf>
    <xf numFmtId="2" fontId="0" fillId="0" borderId="0" xfId="0" applyNumberFormat="1" applyAlignment="1">
      <alignment vertical="center"/>
    </xf>
    <xf numFmtId="2" fontId="19" fillId="3" borderId="1" xfId="0" applyNumberFormat="1" applyFont="1" applyFill="1" applyBorder="1" applyAlignment="1">
      <alignment horizontal="center" vertical="center"/>
    </xf>
    <xf numFmtId="2" fontId="19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Alignment="1">
      <alignment vertical="center"/>
    </xf>
    <xf numFmtId="2" fontId="20" fillId="0" borderId="1" xfId="0" applyNumberFormat="1" applyFont="1" applyBorder="1" applyAlignment="1">
      <alignment horizontal="left" vertical="center" wrapText="1"/>
    </xf>
    <xf numFmtId="2" fontId="20" fillId="0" borderId="1" xfId="0" applyNumberFormat="1" applyFont="1" applyBorder="1" applyAlignment="1">
      <alignment vertical="center"/>
    </xf>
    <xf numFmtId="0" fontId="20" fillId="0" borderId="1" xfId="0" applyFont="1" applyBorder="1" applyAlignment="1">
      <alignment vertical="center" wrapText="1"/>
    </xf>
    <xf numFmtId="0" fontId="31" fillId="0" borderId="0" xfId="0" applyFont="1"/>
    <xf numFmtId="4" fontId="31" fillId="0" borderId="0" xfId="0" applyNumberFormat="1" applyFont="1"/>
    <xf numFmtId="4" fontId="31" fillId="0" borderId="0" xfId="0" applyNumberFormat="1" applyFont="1" applyAlignment="1">
      <alignment vertical="center"/>
    </xf>
    <xf numFmtId="165" fontId="19" fillId="0" borderId="0" xfId="0" applyNumberFormat="1" applyFont="1" applyAlignment="1">
      <alignment horizontal="left"/>
    </xf>
    <xf numFmtId="165" fontId="20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34" fillId="0" borderId="0" xfId="0" applyFont="1"/>
    <xf numFmtId="0" fontId="32" fillId="0" borderId="1" xfId="0" applyFont="1" applyBorder="1" applyAlignment="1">
      <alignment vertical="center" wrapText="1"/>
    </xf>
    <xf numFmtId="0" fontId="19" fillId="3" borderId="14" xfId="0" applyFont="1" applyFill="1" applyBorder="1" applyAlignment="1">
      <alignment horizontal="center" wrapText="1"/>
    </xf>
    <xf numFmtId="49" fontId="19" fillId="3" borderId="1" xfId="0" applyNumberFormat="1" applyFont="1" applyFill="1" applyBorder="1" applyAlignment="1">
      <alignment horizontal="center" wrapText="1"/>
    </xf>
    <xf numFmtId="0" fontId="20" fillId="0" borderId="14" xfId="0" applyFont="1" applyBorder="1" applyAlignment="1">
      <alignment wrapText="1"/>
    </xf>
    <xf numFmtId="49" fontId="20" fillId="0" borderId="1" xfId="0" applyNumberFormat="1" applyFont="1" applyBorder="1" applyAlignment="1">
      <alignment horizontal="center" wrapText="1"/>
    </xf>
    <xf numFmtId="4" fontId="20" fillId="0" borderId="17" xfId="0" applyNumberFormat="1" applyFont="1" applyBorder="1" applyAlignment="1">
      <alignment horizontal="center" wrapText="1"/>
    </xf>
    <xf numFmtId="4" fontId="20" fillId="0" borderId="1" xfId="0" applyNumberFormat="1" applyFont="1" applyBorder="1" applyAlignment="1">
      <alignment horizontal="center" wrapText="1"/>
    </xf>
    <xf numFmtId="49" fontId="20" fillId="3" borderId="1" xfId="0" applyNumberFormat="1" applyFont="1" applyFill="1" applyBorder="1" applyAlignment="1">
      <alignment horizontal="center" wrapText="1"/>
    </xf>
    <xf numFmtId="4" fontId="19" fillId="3" borderId="17" xfId="0" applyNumberFormat="1" applyFont="1" applyFill="1" applyBorder="1" applyAlignment="1">
      <alignment horizontal="center" wrapText="1"/>
    </xf>
    <xf numFmtId="0" fontId="20" fillId="0" borderId="14" xfId="0" applyFont="1" applyBorder="1" applyAlignment="1">
      <alignment horizontal="left" wrapText="1"/>
    </xf>
    <xf numFmtId="49" fontId="19" fillId="0" borderId="1" xfId="0" applyNumberFormat="1" applyFont="1" applyBorder="1" applyAlignment="1">
      <alignment horizontal="center" wrapText="1"/>
    </xf>
    <xf numFmtId="4" fontId="19" fillId="3" borderId="1" xfId="0" applyNumberFormat="1" applyFont="1" applyFill="1" applyBorder="1" applyAlignment="1">
      <alignment horizontal="center" wrapText="1"/>
    </xf>
    <xf numFmtId="4" fontId="20" fillId="2" borderId="17" xfId="0" applyNumberFormat="1" applyFont="1" applyFill="1" applyBorder="1" applyAlignment="1">
      <alignment horizontal="center" wrapText="1"/>
    </xf>
    <xf numFmtId="4" fontId="19" fillId="3" borderId="14" xfId="0" applyNumberFormat="1" applyFont="1" applyFill="1" applyBorder="1" applyAlignment="1">
      <alignment horizontal="center" wrapText="1"/>
    </xf>
    <xf numFmtId="0" fontId="10" fillId="0" borderId="14" xfId="0" applyFont="1" applyBorder="1" applyAlignment="1">
      <alignment wrapText="1"/>
    </xf>
    <xf numFmtId="49" fontId="10" fillId="0" borderId="1" xfId="0" applyNumberFormat="1" applyFont="1" applyBorder="1" applyAlignment="1">
      <alignment horizontal="center" wrapText="1"/>
    </xf>
    <xf numFmtId="4" fontId="19" fillId="3" borderId="16" xfId="0" applyNumberFormat="1" applyFont="1" applyFill="1" applyBorder="1" applyAlignment="1">
      <alignment wrapText="1"/>
    </xf>
    <xf numFmtId="4" fontId="19" fillId="3" borderId="18" xfId="0" applyNumberFormat="1" applyFont="1" applyFill="1" applyBorder="1" applyAlignment="1">
      <alignment wrapText="1"/>
    </xf>
    <xf numFmtId="4" fontId="19" fillId="3" borderId="19" xfId="0" applyNumberFormat="1" applyFont="1" applyFill="1" applyBorder="1" applyAlignment="1">
      <alignment horizontal="center" wrapText="1"/>
    </xf>
    <xf numFmtId="0" fontId="28" fillId="0" borderId="20" xfId="0" applyFont="1" applyBorder="1"/>
    <xf numFmtId="0" fontId="34" fillId="0" borderId="7" xfId="0" applyFont="1" applyBorder="1"/>
    <xf numFmtId="165" fontId="10" fillId="0" borderId="16" xfId="0" applyNumberFormat="1" applyFont="1" applyBorder="1" applyAlignment="1">
      <alignment wrapText="1"/>
    </xf>
    <xf numFmtId="165" fontId="34" fillId="0" borderId="18" xfId="0" applyNumberFormat="1" applyFont="1" applyBorder="1"/>
    <xf numFmtId="165" fontId="0" fillId="0" borderId="0" xfId="0" applyNumberFormat="1"/>
    <xf numFmtId="0" fontId="27" fillId="0" borderId="0" xfId="0" applyFont="1"/>
    <xf numFmtId="0" fontId="35" fillId="0" borderId="0" xfId="0" applyFont="1" applyAlignment="1">
      <alignment horizontal="right"/>
    </xf>
    <xf numFmtId="0" fontId="36" fillId="0" borderId="0" xfId="0" applyFont="1"/>
    <xf numFmtId="14" fontId="37" fillId="0" borderId="0" xfId="0" applyNumberFormat="1" applyFont="1"/>
    <xf numFmtId="0" fontId="37" fillId="0" borderId="0" xfId="0" applyFont="1"/>
    <xf numFmtId="0" fontId="35" fillId="0" borderId="0" xfId="0" applyFont="1"/>
    <xf numFmtId="0" fontId="38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/>
    </xf>
    <xf numFmtId="0" fontId="28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4" fontId="19" fillId="0" borderId="1" xfId="0" applyNumberFormat="1" applyFont="1" applyBorder="1" applyAlignment="1">
      <alignment horizontal="center" vertical="center"/>
    </xf>
    <xf numFmtId="4" fontId="20" fillId="0" borderId="1" xfId="0" applyNumberFormat="1" applyFont="1" applyBorder="1" applyAlignment="1">
      <alignment horizontal="left" vertical="center" wrapText="1"/>
    </xf>
    <xf numFmtId="4" fontId="20" fillId="0" borderId="1" xfId="0" applyNumberFormat="1" applyFont="1" applyBorder="1" applyAlignment="1">
      <alignment horizontal="justify" vertical="justify" wrapText="1"/>
    </xf>
    <xf numFmtId="4" fontId="20" fillId="0" borderId="1" xfId="0" applyNumberFormat="1" applyFont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justify" vertical="justify" wrapText="1"/>
    </xf>
    <xf numFmtId="4" fontId="31" fillId="0" borderId="5" xfId="0" applyNumberFormat="1" applyFont="1" applyBorder="1" applyAlignment="1">
      <alignment horizontal="justify" vertical="justify"/>
    </xf>
    <xf numFmtId="4" fontId="31" fillId="0" borderId="0" xfId="0" applyNumberFormat="1" applyFont="1" applyAlignment="1">
      <alignment horizontal="justify" vertical="justify"/>
    </xf>
    <xf numFmtId="4" fontId="19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2" fontId="19" fillId="0" borderId="1" xfId="0" applyNumberFormat="1" applyFont="1" applyBorder="1" applyAlignment="1">
      <alignment horizontal="center" vertical="center" wrapText="1"/>
    </xf>
    <xf numFmtId="165" fontId="31" fillId="0" borderId="5" xfId="0" applyNumberFormat="1" applyFont="1" applyBorder="1"/>
    <xf numFmtId="165" fontId="31" fillId="0" borderId="0" xfId="0" applyNumberFormat="1" applyFont="1"/>
    <xf numFmtId="49" fontId="20" fillId="0" borderId="1" xfId="0" applyNumberFormat="1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2" fontId="20" fillId="0" borderId="1" xfId="0" applyNumberFormat="1" applyFont="1" applyBorder="1" applyAlignment="1">
      <alignment horizontal="center" vertical="center" wrapText="1"/>
    </xf>
    <xf numFmtId="2" fontId="19" fillId="0" borderId="0" xfId="0" applyNumberFormat="1" applyFont="1" applyAlignment="1">
      <alignment horizontal="center" vertical="center" wrapText="1"/>
    </xf>
    <xf numFmtId="0" fontId="39" fillId="0" borderId="0" xfId="0" applyFont="1"/>
    <xf numFmtId="0" fontId="40" fillId="0" borderId="0" xfId="0" applyFont="1"/>
    <xf numFmtId="4" fontId="31" fillId="0" borderId="1" xfId="0" applyNumberFormat="1" applyFont="1" applyBorder="1"/>
    <xf numFmtId="0" fontId="20" fillId="0" borderId="1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3" xfId="0" applyFont="1" applyBorder="1" applyAlignment="1">
      <alignment horizontal="left" vertical="center" wrapText="1"/>
    </xf>
    <xf numFmtId="49" fontId="20" fillId="0" borderId="3" xfId="0" applyNumberFormat="1" applyFont="1" applyBorder="1" applyAlignment="1">
      <alignment horizontal="center" wrapText="1"/>
    </xf>
    <xf numFmtId="0" fontId="20" fillId="0" borderId="3" xfId="0" applyFont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/>
    </xf>
    <xf numFmtId="4" fontId="20" fillId="0" borderId="3" xfId="0" applyNumberFormat="1" applyFont="1" applyBorder="1"/>
    <xf numFmtId="0" fontId="31" fillId="0" borderId="1" xfId="0" applyFont="1" applyBorder="1"/>
    <xf numFmtId="165" fontId="31" fillId="0" borderId="1" xfId="0" applyNumberFormat="1" applyFont="1" applyBorder="1"/>
    <xf numFmtId="0" fontId="32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vertical="center" wrapText="1"/>
    </xf>
    <xf numFmtId="49" fontId="38" fillId="0" borderId="1" xfId="0" applyNumberFormat="1" applyFont="1" applyBorder="1" applyAlignment="1">
      <alignment horizontal="center" vertical="center" wrapText="1"/>
    </xf>
    <xf numFmtId="165" fontId="38" fillId="0" borderId="1" xfId="0" applyNumberFormat="1" applyFont="1" applyBorder="1" applyAlignment="1">
      <alignment vertical="center" wrapText="1"/>
    </xf>
    <xf numFmtId="4" fontId="32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horizontal="right"/>
    </xf>
    <xf numFmtId="49" fontId="3" fillId="0" borderId="9" xfId="0" applyNumberFormat="1" applyFont="1" applyFill="1" applyBorder="1" applyAlignment="1">
      <alignment horizontal="right" vertical="top" wrapText="1"/>
    </xf>
    <xf numFmtId="49" fontId="3" fillId="0" borderId="0" xfId="0" applyNumberFormat="1" applyFont="1" applyFill="1" applyBorder="1" applyAlignment="1">
      <alignment horizontal="right" vertical="top" wrapText="1"/>
    </xf>
    <xf numFmtId="49" fontId="3" fillId="0" borderId="27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4" fontId="3" fillId="0" borderId="0" xfId="0" applyNumberFormat="1" applyFont="1" applyFill="1" applyBorder="1" applyAlignment="1">
      <alignment horizontal="right" vertical="top" wrapText="1"/>
    </xf>
    <xf numFmtId="49" fontId="42" fillId="0" borderId="27" xfId="0" applyNumberFormat="1" applyFont="1" applyFill="1" applyBorder="1" applyAlignment="1">
      <alignment horizontal="center" vertical="top" wrapText="1"/>
    </xf>
    <xf numFmtId="49" fontId="42" fillId="0" borderId="0" xfId="0" applyNumberFormat="1" applyFont="1" applyFill="1" applyBorder="1" applyAlignment="1">
      <alignment horizontal="left" vertical="top" wrapText="1"/>
    </xf>
    <xf numFmtId="49" fontId="42" fillId="0" borderId="0" xfId="0" applyNumberFormat="1" applyFont="1" applyFill="1" applyBorder="1" applyAlignment="1">
      <alignment horizontal="center" vertical="top" wrapText="1"/>
    </xf>
    <xf numFmtId="4" fontId="42" fillId="0" borderId="0" xfId="0" applyNumberFormat="1" applyFont="1" applyFill="1" applyBorder="1" applyAlignment="1">
      <alignment horizontal="right" vertical="top" wrapText="1"/>
    </xf>
    <xf numFmtId="0" fontId="4" fillId="0" borderId="0" xfId="0" applyFont="1"/>
    <xf numFmtId="4" fontId="4" fillId="0" borderId="0" xfId="0" applyNumberFormat="1" applyFont="1"/>
    <xf numFmtId="0" fontId="3" fillId="6" borderId="0" xfId="0" applyFont="1" applyFill="1" applyAlignment="1">
      <alignment horizontal="right"/>
    </xf>
    <xf numFmtId="0" fontId="3" fillId="6" borderId="0" xfId="0" applyFont="1" applyFill="1"/>
    <xf numFmtId="2" fontId="3" fillId="6" borderId="0" xfId="0" applyNumberFormat="1" applyFont="1" applyFill="1"/>
    <xf numFmtId="4" fontId="4" fillId="7" borderId="0" xfId="0" applyNumberFormat="1" applyFont="1" applyFill="1"/>
    <xf numFmtId="0" fontId="43" fillId="0" borderId="0" xfId="0" applyFont="1"/>
    <xf numFmtId="0" fontId="19" fillId="0" borderId="26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49" fontId="19" fillId="0" borderId="12" xfId="0" applyNumberFormat="1" applyFont="1" applyBorder="1" applyAlignment="1">
      <alignment horizontal="center" vertical="center" wrapText="1"/>
    </xf>
    <xf numFmtId="165" fontId="19" fillId="0" borderId="13" xfId="0" applyNumberFormat="1" applyFont="1" applyBorder="1" applyAlignment="1">
      <alignment horizontal="center" vertical="center" wrapText="1"/>
    </xf>
    <xf numFmtId="165" fontId="19" fillId="0" borderId="0" xfId="0" applyNumberFormat="1" applyFont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45" fillId="0" borderId="0" xfId="0" applyFont="1"/>
    <xf numFmtId="0" fontId="6" fillId="0" borderId="0" xfId="0" applyFont="1"/>
    <xf numFmtId="0" fontId="23" fillId="5" borderId="1" xfId="1" applyFont="1" applyFill="1" applyBorder="1" applyAlignment="1">
      <alignment horizontal="left" vertical="center" wrapText="1" readingOrder="1"/>
    </xf>
    <xf numFmtId="0" fontId="23" fillId="5" borderId="1" xfId="1" applyFont="1" applyFill="1" applyBorder="1" applyAlignment="1">
      <alignment horizontal="center" vertical="center" wrapText="1" readingOrder="1"/>
    </xf>
    <xf numFmtId="164" fontId="23" fillId="5" borderId="1" xfId="1" applyNumberFormat="1" applyFont="1" applyFill="1" applyBorder="1" applyAlignment="1">
      <alignment horizontal="right" vertical="center" wrapText="1" readingOrder="1"/>
    </xf>
    <xf numFmtId="0" fontId="22" fillId="5" borderId="1" xfId="1" applyFont="1" applyFill="1" applyBorder="1" applyAlignment="1">
      <alignment horizontal="center" vertical="center" wrapText="1" readingOrder="1"/>
    </xf>
    <xf numFmtId="4" fontId="15" fillId="0" borderId="1" xfId="1" applyNumberFormat="1" applyFont="1" applyBorder="1" applyAlignment="1">
      <alignment horizontal="right" vertical="center" wrapText="1" readingOrder="1"/>
    </xf>
    <xf numFmtId="4" fontId="15" fillId="0" borderId="1" xfId="1" applyNumberFormat="1" applyFont="1" applyBorder="1" applyAlignment="1">
      <alignment horizontal="center" vertical="center" wrapText="1" readingOrder="1"/>
    </xf>
    <xf numFmtId="0" fontId="16" fillId="5" borderId="1" xfId="1" applyFont="1" applyFill="1" applyBorder="1" applyAlignment="1">
      <alignment horizontal="center" vertical="center" wrapText="1" readingOrder="1"/>
    </xf>
    <xf numFmtId="0" fontId="13" fillId="5" borderId="1" xfId="1" applyFont="1" applyFill="1" applyBorder="1" applyAlignment="1">
      <alignment horizontal="left" vertical="center" wrapText="1" readingOrder="1"/>
    </xf>
    <xf numFmtId="4" fontId="13" fillId="5" borderId="1" xfId="1" applyNumberFormat="1" applyFont="1" applyFill="1" applyBorder="1" applyAlignment="1">
      <alignment horizontal="right" vertical="center" wrapText="1" readingOrder="1"/>
    </xf>
    <xf numFmtId="164" fontId="17" fillId="5" borderId="1" xfId="0" applyNumberFormat="1" applyFont="1" applyFill="1" applyBorder="1"/>
    <xf numFmtId="0" fontId="9" fillId="0" borderId="0" xfId="0" applyFont="1"/>
    <xf numFmtId="2" fontId="10" fillId="0" borderId="0" xfId="0" applyNumberFormat="1" applyFont="1" applyAlignment="1">
      <alignment horizontal="right" vertical="center"/>
    </xf>
    <xf numFmtId="2" fontId="19" fillId="0" borderId="0" xfId="0" applyNumberFormat="1" applyFont="1" applyAlignment="1">
      <alignment horizontal="right" vertical="center"/>
    </xf>
    <xf numFmtId="2" fontId="20" fillId="0" borderId="0" xfId="0" applyNumberFormat="1" applyFont="1" applyAlignment="1">
      <alignment horizontal="right" vertical="center"/>
    </xf>
    <xf numFmtId="4" fontId="9" fillId="0" borderId="0" xfId="0" applyNumberFormat="1" applyFont="1"/>
    <xf numFmtId="4" fontId="13" fillId="5" borderId="1" xfId="1" applyNumberFormat="1" applyFont="1" applyFill="1" applyBorder="1" applyAlignment="1">
      <alignment horizontal="center" vertical="center" wrapText="1" readingOrder="1"/>
    </xf>
    <xf numFmtId="4" fontId="13" fillId="0" borderId="1" xfId="1" applyNumberFormat="1" applyFont="1" applyBorder="1" applyAlignment="1">
      <alignment horizontal="right" vertical="center" wrapText="1" readingOrder="1"/>
    </xf>
    <xf numFmtId="4" fontId="23" fillId="0" borderId="1" xfId="1" applyNumberFormat="1" applyFont="1" applyBorder="1" applyAlignment="1">
      <alignment horizontal="right" vertical="center" wrapText="1" readingOrder="1"/>
    </xf>
    <xf numFmtId="4" fontId="15" fillId="2" borderId="1" xfId="1" applyNumberFormat="1" applyFont="1" applyFill="1" applyBorder="1" applyAlignment="1">
      <alignment horizontal="right" vertical="center" wrapText="1" readingOrder="1"/>
    </xf>
    <xf numFmtId="4" fontId="24" fillId="0" borderId="1" xfId="1" applyNumberFormat="1" applyFont="1" applyBorder="1" applyAlignment="1">
      <alignment horizontal="right" vertical="center" wrapText="1" readingOrder="1"/>
    </xf>
    <xf numFmtId="0" fontId="9" fillId="0" borderId="1" xfId="0" applyFont="1" applyBorder="1"/>
    <xf numFmtId="0" fontId="9" fillId="0" borderId="0" xfId="0" applyFont="1" applyBorder="1"/>
    <xf numFmtId="0" fontId="0" fillId="0" borderId="0" xfId="0" applyBorder="1"/>
    <xf numFmtId="0" fontId="25" fillId="0" borderId="1" xfId="0" applyFont="1" applyBorder="1"/>
    <xf numFmtId="4" fontId="9" fillId="0" borderId="0" xfId="0" applyNumberFormat="1" applyFont="1" applyBorder="1"/>
    <xf numFmtId="4" fontId="19" fillId="0" borderId="0" xfId="0" applyNumberFormat="1" applyFont="1" applyBorder="1" applyAlignment="1">
      <alignment horizontal="right" vertical="center"/>
    </xf>
    <xf numFmtId="4" fontId="20" fillId="0" borderId="0" xfId="0" applyNumberFormat="1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right" vertical="center"/>
    </xf>
    <xf numFmtId="0" fontId="22" fillId="0" borderId="11" xfId="1" applyFont="1" applyBorder="1" applyAlignment="1">
      <alignment horizontal="left" vertical="center" wrapText="1" readingOrder="1"/>
    </xf>
    <xf numFmtId="0" fontId="13" fillId="0" borderId="12" xfId="1" applyFont="1" applyBorder="1" applyAlignment="1">
      <alignment horizontal="center" vertical="center" wrapText="1" readingOrder="1"/>
    </xf>
    <xf numFmtId="4" fontId="13" fillId="0" borderId="12" xfId="1" applyNumberFormat="1" applyFont="1" applyBorder="1" applyAlignment="1">
      <alignment horizontal="right" vertical="center" wrapText="1" readingOrder="1"/>
    </xf>
    <xf numFmtId="4" fontId="13" fillId="0" borderId="13" xfId="1" applyNumberFormat="1" applyFont="1" applyBorder="1" applyAlignment="1">
      <alignment horizontal="right" vertical="center" wrapText="1" readingOrder="1"/>
    </xf>
    <xf numFmtId="0" fontId="24" fillId="0" borderId="14" xfId="1" applyFont="1" applyBorder="1" applyAlignment="1">
      <alignment horizontal="left" vertical="center" wrapText="1" readingOrder="1"/>
    </xf>
    <xf numFmtId="4" fontId="24" fillId="0" borderId="17" xfId="1" applyNumberFormat="1" applyFont="1" applyBorder="1" applyAlignment="1">
      <alignment horizontal="right" vertical="center" wrapText="1" readingOrder="1"/>
    </xf>
    <xf numFmtId="0" fontId="15" fillId="0" borderId="14" xfId="1" applyFont="1" applyBorder="1" applyAlignment="1">
      <alignment horizontal="left" vertical="center" wrapText="1" readingOrder="1"/>
    </xf>
    <xf numFmtId="0" fontId="15" fillId="0" borderId="16" xfId="1" applyFont="1" applyBorder="1" applyAlignment="1">
      <alignment horizontal="left" vertical="center" wrapText="1" readingOrder="1"/>
    </xf>
    <xf numFmtId="0" fontId="15" fillId="0" borderId="18" xfId="1" applyFont="1" applyBorder="1" applyAlignment="1">
      <alignment horizontal="left" vertical="center" wrapText="1" readingOrder="1"/>
    </xf>
    <xf numFmtId="4" fontId="15" fillId="0" borderId="18" xfId="1" applyNumberFormat="1" applyFont="1" applyBorder="1" applyAlignment="1">
      <alignment horizontal="right" vertical="center" wrapText="1" readingOrder="1"/>
    </xf>
    <xf numFmtId="4" fontId="24" fillId="0" borderId="19" xfId="1" applyNumberFormat="1" applyFont="1" applyBorder="1" applyAlignment="1">
      <alignment horizontal="right" vertical="center" wrapText="1" readingOrder="1"/>
    </xf>
    <xf numFmtId="0" fontId="22" fillId="5" borderId="3" xfId="1" applyFont="1" applyFill="1" applyBorder="1" applyAlignment="1">
      <alignment horizontal="left" vertical="center" wrapText="1" readingOrder="1"/>
    </xf>
    <xf numFmtId="0" fontId="13" fillId="5" borderId="3" xfId="1" applyFont="1" applyFill="1" applyBorder="1" applyAlignment="1">
      <alignment horizontal="center" vertical="center" wrapText="1" readingOrder="1"/>
    </xf>
    <xf numFmtId="4" fontId="13" fillId="5" borderId="3" xfId="1" applyNumberFormat="1" applyFont="1" applyFill="1" applyBorder="1" applyAlignment="1">
      <alignment horizontal="right" vertical="center" wrapText="1" readingOrder="1"/>
    </xf>
    <xf numFmtId="0" fontId="22" fillId="0" borderId="28" xfId="1" applyFont="1" applyBorder="1" applyAlignment="1">
      <alignment horizontal="left" vertical="center" wrapText="1" readingOrder="1"/>
    </xf>
    <xf numFmtId="0" fontId="13" fillId="0" borderId="29" xfId="1" applyFont="1" applyBorder="1" applyAlignment="1">
      <alignment horizontal="center" vertical="center" wrapText="1" readingOrder="1"/>
    </xf>
    <xf numFmtId="4" fontId="13" fillId="2" borderId="29" xfId="1" applyNumberFormat="1" applyFont="1" applyFill="1" applyBorder="1" applyAlignment="1">
      <alignment horizontal="right" vertical="center" wrapText="1" readingOrder="1"/>
    </xf>
    <xf numFmtId="4" fontId="13" fillId="2" borderId="30" xfId="1" applyNumberFormat="1" applyFont="1" applyFill="1" applyBorder="1" applyAlignment="1">
      <alignment horizontal="right" vertical="center" wrapText="1" readingOrder="1"/>
    </xf>
    <xf numFmtId="4" fontId="13" fillId="2" borderId="12" xfId="1" applyNumberFormat="1" applyFont="1" applyFill="1" applyBorder="1" applyAlignment="1">
      <alignment horizontal="right" vertical="center" wrapText="1" readingOrder="1"/>
    </xf>
    <xf numFmtId="4" fontId="13" fillId="2" borderId="13" xfId="1" applyNumberFormat="1" applyFont="1" applyFill="1" applyBorder="1" applyAlignment="1">
      <alignment horizontal="right" vertical="center" wrapText="1" readingOrder="1"/>
    </xf>
    <xf numFmtId="4" fontId="15" fillId="2" borderId="17" xfId="1" applyNumberFormat="1" applyFont="1" applyFill="1" applyBorder="1" applyAlignment="1">
      <alignment horizontal="right" vertical="center" wrapText="1" readingOrder="1"/>
    </xf>
    <xf numFmtId="4" fontId="15" fillId="2" borderId="18" xfId="1" applyNumberFormat="1" applyFont="1" applyFill="1" applyBorder="1" applyAlignment="1">
      <alignment horizontal="right" vertical="center" wrapText="1" readingOrder="1"/>
    </xf>
    <xf numFmtId="0" fontId="15" fillId="5" borderId="2" xfId="1" applyFont="1" applyFill="1" applyBorder="1" applyAlignment="1">
      <alignment horizontal="left" vertical="center" wrapText="1" readingOrder="1"/>
    </xf>
    <xf numFmtId="0" fontId="21" fillId="5" borderId="2" xfId="1" applyFont="1" applyFill="1" applyBorder="1" applyAlignment="1">
      <alignment horizontal="left" vertical="center" wrapText="1" readingOrder="1"/>
    </xf>
    <xf numFmtId="4" fontId="17" fillId="0" borderId="12" xfId="0" applyNumberFormat="1" applyFont="1" applyBorder="1"/>
    <xf numFmtId="4" fontId="17" fillId="0" borderId="13" xfId="0" applyNumberFormat="1" applyFont="1" applyBorder="1"/>
    <xf numFmtId="4" fontId="15" fillId="0" borderId="19" xfId="1" applyNumberFormat="1" applyFont="1" applyBorder="1" applyAlignment="1">
      <alignment horizontal="right" vertical="center" wrapText="1" readingOrder="1"/>
    </xf>
    <xf numFmtId="0" fontId="15" fillId="5" borderId="28" xfId="1" applyFont="1" applyFill="1" applyBorder="1" applyAlignment="1">
      <alignment horizontal="left" vertical="center" wrapText="1" readingOrder="1"/>
    </xf>
    <xf numFmtId="0" fontId="21" fillId="5" borderId="29" xfId="1" applyFont="1" applyFill="1" applyBorder="1" applyAlignment="1">
      <alignment horizontal="left" vertical="center" wrapText="1" readingOrder="1"/>
    </xf>
    <xf numFmtId="4" fontId="13" fillId="5" borderId="29" xfId="1" applyNumberFormat="1" applyFont="1" applyFill="1" applyBorder="1" applyAlignment="1">
      <alignment horizontal="right" vertical="center" wrapText="1" readingOrder="1"/>
    </xf>
    <xf numFmtId="4" fontId="13" fillId="5" borderId="30" xfId="1" applyNumberFormat="1" applyFont="1" applyFill="1" applyBorder="1" applyAlignment="1">
      <alignment horizontal="right" vertical="center" wrapText="1" readingOrder="1"/>
    </xf>
    <xf numFmtId="0" fontId="14" fillId="0" borderId="3" xfId="1" applyFont="1" applyBorder="1" applyAlignment="1">
      <alignment horizontal="left" vertical="center" wrapText="1" readingOrder="1"/>
    </xf>
    <xf numFmtId="0" fontId="14" fillId="0" borderId="3" xfId="1" applyFont="1" applyBorder="1" applyAlignment="1">
      <alignment horizontal="center" vertical="center" wrapText="1" readingOrder="1"/>
    </xf>
    <xf numFmtId="4" fontId="13" fillId="0" borderId="3" xfId="1" applyNumberFormat="1" applyFont="1" applyBorder="1" applyAlignment="1">
      <alignment horizontal="right" vertical="center" wrapText="1" readingOrder="1"/>
    </xf>
    <xf numFmtId="164" fontId="13" fillId="0" borderId="3" xfId="1" applyNumberFormat="1" applyFont="1" applyBorder="1" applyAlignment="1">
      <alignment horizontal="right" vertical="center" wrapText="1" readingOrder="1"/>
    </xf>
    <xf numFmtId="4" fontId="13" fillId="0" borderId="2" xfId="1" applyNumberFormat="1" applyFont="1" applyBorder="1" applyAlignment="1">
      <alignment horizontal="right" vertical="center" wrapText="1" readingOrder="1"/>
    </xf>
    <xf numFmtId="164" fontId="13" fillId="0" borderId="2" xfId="1" applyNumberFormat="1" applyFont="1" applyBorder="1" applyAlignment="1">
      <alignment horizontal="right" vertical="center" wrapText="1" readingOrder="1"/>
    </xf>
    <xf numFmtId="0" fontId="23" fillId="0" borderId="11" xfId="1" applyFont="1" applyBorder="1" applyAlignment="1">
      <alignment horizontal="left" vertical="center" wrapText="1" readingOrder="1"/>
    </xf>
    <xf numFmtId="0" fontId="22" fillId="0" borderId="12" xfId="1" applyFont="1" applyBorder="1" applyAlignment="1">
      <alignment horizontal="center" vertical="center" wrapText="1" readingOrder="1"/>
    </xf>
    <xf numFmtId="4" fontId="23" fillId="0" borderId="12" xfId="1" applyNumberFormat="1" applyFont="1" applyBorder="1" applyAlignment="1">
      <alignment horizontal="right" vertical="center" wrapText="1" readingOrder="1"/>
    </xf>
    <xf numFmtId="164" fontId="23" fillId="0" borderId="12" xfId="1" applyNumberFormat="1" applyFont="1" applyBorder="1" applyAlignment="1">
      <alignment horizontal="right" vertical="center" wrapText="1" readingOrder="1"/>
    </xf>
    <xf numFmtId="164" fontId="23" fillId="0" borderId="13" xfId="1" applyNumberFormat="1" applyFont="1" applyBorder="1" applyAlignment="1">
      <alignment horizontal="right" vertical="center" wrapText="1" readingOrder="1"/>
    </xf>
    <xf numFmtId="4" fontId="10" fillId="0" borderId="18" xfId="0" applyNumberFormat="1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4" fontId="10" fillId="0" borderId="19" xfId="0" applyNumberFormat="1" applyFont="1" applyBorder="1" applyAlignment="1">
      <alignment vertical="center"/>
    </xf>
    <xf numFmtId="0" fontId="16" fillId="0" borderId="12" xfId="1" applyFont="1" applyBorder="1" applyAlignment="1">
      <alignment horizontal="center" vertical="center" wrapText="1" readingOrder="1"/>
    </xf>
    <xf numFmtId="164" fontId="13" fillId="0" borderId="12" xfId="1" applyNumberFormat="1" applyFont="1" applyBorder="1" applyAlignment="1">
      <alignment horizontal="right" vertical="center" wrapText="1" readingOrder="1"/>
    </xf>
    <xf numFmtId="164" fontId="13" fillId="0" borderId="13" xfId="1" applyNumberFormat="1" applyFont="1" applyBorder="1" applyAlignment="1">
      <alignment horizontal="right" vertical="center" wrapText="1" readingOrder="1"/>
    </xf>
    <xf numFmtId="164" fontId="15" fillId="0" borderId="17" xfId="1" applyNumberFormat="1" applyFont="1" applyBorder="1" applyAlignment="1">
      <alignment horizontal="right" vertical="center" wrapText="1" readingOrder="1"/>
    </xf>
    <xf numFmtId="164" fontId="15" fillId="0" borderId="18" xfId="1" applyNumberFormat="1" applyFont="1" applyBorder="1" applyAlignment="1">
      <alignment horizontal="right" vertical="center" wrapText="1" readingOrder="1"/>
    </xf>
    <xf numFmtId="164" fontId="15" fillId="0" borderId="19" xfId="1" applyNumberFormat="1" applyFont="1" applyBorder="1" applyAlignment="1">
      <alignment horizontal="right" vertical="center" wrapText="1" readingOrder="1"/>
    </xf>
    <xf numFmtId="4" fontId="20" fillId="0" borderId="18" xfId="0" applyNumberFormat="1" applyFont="1" applyBorder="1"/>
    <xf numFmtId="4" fontId="20" fillId="0" borderId="19" xfId="0" applyNumberFormat="1" applyFont="1" applyBorder="1"/>
    <xf numFmtId="0" fontId="15" fillId="0" borderId="2" xfId="1" applyFont="1" applyBorder="1" applyAlignment="1">
      <alignment horizontal="left" vertical="center" wrapText="1" readingOrder="1"/>
    </xf>
    <xf numFmtId="0" fontId="14" fillId="0" borderId="2" xfId="1" applyFont="1" applyBorder="1" applyAlignment="1">
      <alignment horizontal="center" vertical="center" wrapText="1" readingOrder="1"/>
    </xf>
    <xf numFmtId="0" fontId="13" fillId="0" borderId="11" xfId="1" applyFont="1" applyBorder="1" applyAlignment="1">
      <alignment horizontal="left" vertical="center" wrapText="1" readingOrder="1"/>
    </xf>
    <xf numFmtId="4" fontId="13" fillId="2" borderId="17" xfId="1" applyNumberFormat="1" applyFont="1" applyFill="1" applyBorder="1" applyAlignment="1">
      <alignment horizontal="right" vertical="center" wrapText="1" readingOrder="1"/>
    </xf>
    <xf numFmtId="4" fontId="10" fillId="2" borderId="17" xfId="0" applyNumberFormat="1" applyFont="1" applyFill="1" applyBorder="1" applyAlignment="1">
      <alignment horizontal="right" vertical="center"/>
    </xf>
    <xf numFmtId="4" fontId="10" fillId="2" borderId="18" xfId="0" applyNumberFormat="1" applyFont="1" applyFill="1" applyBorder="1" applyAlignment="1">
      <alignment horizontal="right" vertical="center"/>
    </xf>
    <xf numFmtId="4" fontId="10" fillId="2" borderId="19" xfId="0" applyNumberFormat="1" applyFont="1" applyFill="1" applyBorder="1" applyAlignment="1">
      <alignment horizontal="right" vertical="center"/>
    </xf>
    <xf numFmtId="164" fontId="13" fillId="5" borderId="3" xfId="1" applyNumberFormat="1" applyFont="1" applyFill="1" applyBorder="1" applyAlignment="1">
      <alignment horizontal="right" vertical="center" wrapText="1" readingOrder="1"/>
    </xf>
    <xf numFmtId="164" fontId="24" fillId="0" borderId="17" xfId="1" applyNumberFormat="1" applyFont="1" applyBorder="1" applyAlignment="1">
      <alignment horizontal="right" vertical="center" wrapText="1" readingOrder="1"/>
    </xf>
    <xf numFmtId="164" fontId="13" fillId="2" borderId="13" xfId="1" applyNumberFormat="1" applyFont="1" applyFill="1" applyBorder="1" applyAlignment="1">
      <alignment horizontal="right" vertical="center" wrapText="1" readingOrder="1"/>
    </xf>
    <xf numFmtId="164" fontId="15" fillId="2" borderId="18" xfId="1" applyNumberFormat="1" applyFont="1" applyFill="1" applyBorder="1" applyAlignment="1">
      <alignment horizontal="right" vertical="center" wrapText="1" readingOrder="1"/>
    </xf>
    <xf numFmtId="0" fontId="15" fillId="0" borderId="23" xfId="1" applyFont="1" applyBorder="1" applyAlignment="1">
      <alignment horizontal="left" vertical="center" wrapText="1" readingOrder="1"/>
    </xf>
    <xf numFmtId="0" fontId="15" fillId="0" borderId="3" xfId="1" applyFont="1" applyBorder="1" applyAlignment="1">
      <alignment horizontal="left" vertical="center" wrapText="1" readingOrder="1"/>
    </xf>
    <xf numFmtId="164" fontId="15" fillId="5" borderId="2" xfId="1" applyNumberFormat="1" applyFont="1" applyFill="1" applyBorder="1" applyAlignment="1">
      <alignment horizontal="right" vertical="center" wrapText="1" readingOrder="1"/>
    </xf>
    <xf numFmtId="4" fontId="13" fillId="5" borderId="2" xfId="1" applyNumberFormat="1" applyFont="1" applyFill="1" applyBorder="1" applyAlignment="1">
      <alignment horizontal="right" vertical="center" wrapText="1" readingOrder="1"/>
    </xf>
    <xf numFmtId="164" fontId="13" fillId="5" borderId="2" xfId="1" applyNumberFormat="1" applyFont="1" applyFill="1" applyBorder="1" applyAlignment="1">
      <alignment horizontal="right" vertical="center" wrapText="1" readingOrder="1"/>
    </xf>
    <xf numFmtId="0" fontId="9" fillId="0" borderId="3" xfId="0" applyFont="1" applyBorder="1"/>
    <xf numFmtId="0" fontId="9" fillId="0" borderId="18" xfId="0" applyFont="1" applyBorder="1"/>
    <xf numFmtId="4" fontId="23" fillId="0" borderId="12" xfId="1" applyNumberFormat="1" applyFont="1" applyBorder="1" applyAlignment="1">
      <alignment horizontal="center" vertical="center" wrapText="1" readingOrder="1"/>
    </xf>
    <xf numFmtId="4" fontId="10" fillId="0" borderId="18" xfId="0" applyNumberFormat="1" applyFont="1" applyBorder="1" applyAlignment="1">
      <alignment horizontal="center" vertical="center"/>
    </xf>
    <xf numFmtId="4" fontId="9" fillId="0" borderId="13" xfId="0" applyNumberFormat="1" applyFont="1" applyBorder="1" applyAlignment="1">
      <alignment horizontal="center" vertical="center"/>
    </xf>
    <xf numFmtId="4" fontId="9" fillId="0" borderId="18" xfId="0" applyNumberFormat="1" applyFont="1" applyBorder="1" applyAlignment="1">
      <alignment horizontal="center" vertical="center"/>
    </xf>
    <xf numFmtId="4" fontId="9" fillId="0" borderId="19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4" fontId="17" fillId="0" borderId="13" xfId="0" applyNumberFormat="1" applyFont="1" applyBorder="1" applyAlignment="1">
      <alignment horizontal="center" vertical="center"/>
    </xf>
    <xf numFmtId="4" fontId="13" fillId="0" borderId="12" xfId="1" applyNumberFormat="1" applyFont="1" applyBorder="1" applyAlignment="1">
      <alignment horizontal="center" vertical="center" wrapText="1" readingOrder="1"/>
    </xf>
    <xf numFmtId="164" fontId="15" fillId="0" borderId="3" xfId="1" applyNumberFormat="1" applyFont="1" applyBorder="1" applyAlignment="1">
      <alignment horizontal="right" vertical="center" wrapText="1" readingOrder="1"/>
    </xf>
    <xf numFmtId="4" fontId="9" fillId="0" borderId="31" xfId="0" applyNumberFormat="1" applyFont="1" applyBorder="1" applyAlignment="1">
      <alignment horizontal="center" vertical="center"/>
    </xf>
    <xf numFmtId="164" fontId="13" fillId="0" borderId="12" xfId="1" applyNumberFormat="1" applyFont="1" applyBorder="1" applyAlignment="1">
      <alignment horizontal="center" vertical="center" wrapText="1" readingOrder="1"/>
    </xf>
    <xf numFmtId="0" fontId="9" fillId="0" borderId="18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4" fontId="10" fillId="0" borderId="19" xfId="0" applyNumberFormat="1" applyFont="1" applyBorder="1" applyAlignment="1">
      <alignment horizontal="center" vertical="center"/>
    </xf>
    <xf numFmtId="2" fontId="17" fillId="0" borderId="13" xfId="0" applyNumberFormat="1" applyFont="1" applyBorder="1" applyAlignment="1">
      <alignment horizontal="center" vertical="center"/>
    </xf>
    <xf numFmtId="4" fontId="10" fillId="0" borderId="19" xfId="0" applyNumberFormat="1" applyFont="1" applyBorder="1"/>
    <xf numFmtId="4" fontId="10" fillId="0" borderId="17" xfId="0" applyNumberFormat="1" applyFont="1" applyBorder="1" applyAlignment="1">
      <alignment horizontal="center" vertical="center"/>
    </xf>
    <xf numFmtId="4" fontId="17" fillId="0" borderId="17" xfId="0" applyNumberFormat="1" applyFont="1" applyBorder="1" applyAlignment="1">
      <alignment horizontal="center" vertical="center"/>
    </xf>
    <xf numFmtId="4" fontId="13" fillId="2" borderId="1" xfId="1" applyNumberFormat="1" applyFont="1" applyFill="1" applyBorder="1" applyAlignment="1">
      <alignment horizontal="center" vertical="center" wrapText="1" readingOrder="1"/>
    </xf>
    <xf numFmtId="0" fontId="9" fillId="0" borderId="1" xfId="0" applyFont="1" applyBorder="1" applyAlignment="1">
      <alignment horizontal="center" vertical="center"/>
    </xf>
    <xf numFmtId="0" fontId="22" fillId="5" borderId="2" xfId="1" applyFont="1" applyFill="1" applyBorder="1" applyAlignment="1">
      <alignment horizontal="left" vertical="center" wrapText="1" readingOrder="1"/>
    </xf>
    <xf numFmtId="0" fontId="13" fillId="5" borderId="2" xfId="1" applyFont="1" applyFill="1" applyBorder="1" applyAlignment="1">
      <alignment horizontal="center" vertical="center" wrapText="1" readingOrder="1"/>
    </xf>
    <xf numFmtId="0" fontId="15" fillId="0" borderId="11" xfId="1" applyFont="1" applyBorder="1" applyAlignment="1">
      <alignment horizontal="left" vertical="center" wrapText="1" readingOrder="1"/>
    </xf>
    <xf numFmtId="0" fontId="14" fillId="0" borderId="12" xfId="1" applyFont="1" applyBorder="1" applyAlignment="1">
      <alignment horizontal="center" vertical="center" wrapText="1" readingOrder="1"/>
    </xf>
    <xf numFmtId="0" fontId="13" fillId="0" borderId="14" xfId="1" applyFont="1" applyBorder="1" applyAlignment="1">
      <alignment horizontal="left" vertical="center" wrapText="1" readingOrder="1"/>
    </xf>
    <xf numFmtId="0" fontId="15" fillId="2" borderId="14" xfId="1" applyFont="1" applyFill="1" applyBorder="1" applyAlignment="1">
      <alignment horizontal="left" vertical="center" wrapText="1" readingOrder="1"/>
    </xf>
    <xf numFmtId="164" fontId="13" fillId="0" borderId="1" xfId="1" applyNumberFormat="1" applyFont="1" applyBorder="1" applyAlignment="1">
      <alignment horizontal="center" vertical="center" wrapText="1" readingOrder="1"/>
    </xf>
    <xf numFmtId="2" fontId="10" fillId="0" borderId="17" xfId="0" applyNumberFormat="1" applyFont="1" applyBorder="1" applyAlignment="1">
      <alignment horizontal="center" vertical="center"/>
    </xf>
    <xf numFmtId="2" fontId="17" fillId="0" borderId="17" xfId="0" applyNumberFormat="1" applyFont="1" applyBorder="1" applyAlignment="1">
      <alignment horizontal="center" vertical="center"/>
    </xf>
    <xf numFmtId="2" fontId="10" fillId="0" borderId="19" xfId="0" applyNumberFormat="1" applyFont="1" applyBorder="1" applyAlignment="1">
      <alignment horizontal="center" vertical="center"/>
    </xf>
    <xf numFmtId="0" fontId="22" fillId="5" borderId="11" xfId="1" applyFont="1" applyFill="1" applyBorder="1" applyAlignment="1">
      <alignment horizontal="left" vertical="center" wrapText="1" readingOrder="1"/>
    </xf>
    <xf numFmtId="0" fontId="13" fillId="5" borderId="12" xfId="1" applyFont="1" applyFill="1" applyBorder="1" applyAlignment="1">
      <alignment horizontal="center" vertical="center" wrapText="1" readingOrder="1"/>
    </xf>
    <xf numFmtId="164" fontId="13" fillId="5" borderId="12" xfId="1" applyNumberFormat="1" applyFont="1" applyFill="1" applyBorder="1" applyAlignment="1">
      <alignment horizontal="right" vertical="center" wrapText="1" readingOrder="1"/>
    </xf>
    <xf numFmtId="2" fontId="9" fillId="5" borderId="13" xfId="0" applyNumberFormat="1" applyFont="1" applyFill="1" applyBorder="1"/>
    <xf numFmtId="2" fontId="17" fillId="5" borderId="13" xfId="0" applyNumberFormat="1" applyFont="1" applyFill="1" applyBorder="1" applyAlignment="1">
      <alignment vertical="center"/>
    </xf>
    <xf numFmtId="2" fontId="10" fillId="0" borderId="17" xfId="0" applyNumberFormat="1" applyFont="1" applyBorder="1"/>
    <xf numFmtId="2" fontId="17" fillId="5" borderId="13" xfId="0" applyNumberFormat="1" applyFont="1" applyFill="1" applyBorder="1" applyAlignment="1">
      <alignment horizontal="center" vertical="center"/>
    </xf>
    <xf numFmtId="0" fontId="22" fillId="0" borderId="16" xfId="1" applyFont="1" applyBorder="1" applyAlignment="1">
      <alignment horizontal="left" vertical="center" wrapText="1" readingOrder="1"/>
    </xf>
    <xf numFmtId="0" fontId="13" fillId="0" borderId="18" xfId="1" applyFont="1" applyBorder="1" applyAlignment="1">
      <alignment horizontal="center" vertical="center" wrapText="1" readingOrder="1"/>
    </xf>
    <xf numFmtId="164" fontId="13" fillId="2" borderId="18" xfId="1" applyNumberFormat="1" applyFont="1" applyFill="1" applyBorder="1" applyAlignment="1">
      <alignment horizontal="right" vertical="center" wrapText="1" readingOrder="1"/>
    </xf>
    <xf numFmtId="2" fontId="9" fillId="0" borderId="19" xfId="0" applyNumberFormat="1" applyFont="1" applyBorder="1"/>
    <xf numFmtId="0" fontId="22" fillId="5" borderId="28" xfId="1" applyFont="1" applyFill="1" applyBorder="1" applyAlignment="1">
      <alignment horizontal="left" vertical="center" wrapText="1" readingOrder="1"/>
    </xf>
    <xf numFmtId="0" fontId="13" fillId="5" borderId="29" xfId="1" applyFont="1" applyFill="1" applyBorder="1" applyAlignment="1">
      <alignment horizontal="center" vertical="center" wrapText="1" readingOrder="1"/>
    </xf>
    <xf numFmtId="164" fontId="13" fillId="5" borderId="29" xfId="1" applyNumberFormat="1" applyFont="1" applyFill="1" applyBorder="1" applyAlignment="1">
      <alignment horizontal="right" vertical="center" wrapText="1" readingOrder="1"/>
    </xf>
    <xf numFmtId="2" fontId="10" fillId="0" borderId="17" xfId="0" applyNumberFormat="1" applyFont="1" applyBorder="1" applyAlignment="1">
      <alignment vertical="center"/>
    </xf>
    <xf numFmtId="2" fontId="10" fillId="0" borderId="19" xfId="0" applyNumberFormat="1" applyFont="1" applyBorder="1" applyAlignment="1">
      <alignment vertical="center"/>
    </xf>
    <xf numFmtId="164" fontId="17" fillId="5" borderId="12" xfId="0" applyNumberFormat="1" applyFont="1" applyFill="1" applyBorder="1"/>
    <xf numFmtId="0" fontId="13" fillId="5" borderId="11" xfId="1" applyFont="1" applyFill="1" applyBorder="1" applyAlignment="1">
      <alignment horizontal="center" vertical="center" wrapText="1" readingOrder="1"/>
    </xf>
    <xf numFmtId="0" fontId="17" fillId="5" borderId="12" xfId="0" applyFont="1" applyFill="1" applyBorder="1" applyAlignment="1">
      <alignment horizontal="center" vertical="center" wrapText="1"/>
    </xf>
    <xf numFmtId="0" fontId="17" fillId="5" borderId="13" xfId="0" applyFont="1" applyFill="1" applyBorder="1" applyAlignment="1">
      <alignment horizontal="center" vertical="center" wrapText="1"/>
    </xf>
    <xf numFmtId="0" fontId="14" fillId="5" borderId="14" xfId="1" applyFont="1" applyFill="1" applyBorder="1" applyAlignment="1">
      <alignment horizontal="left" vertical="center" wrapText="1" readingOrder="1"/>
    </xf>
    <xf numFmtId="0" fontId="14" fillId="0" borderId="16" xfId="1" applyFont="1" applyBorder="1" applyAlignment="1">
      <alignment horizontal="left" vertical="center" wrapText="1" readingOrder="1"/>
    </xf>
    <xf numFmtId="0" fontId="14" fillId="0" borderId="18" xfId="1" applyFont="1" applyBorder="1" applyAlignment="1">
      <alignment horizontal="center" vertical="center" wrapText="1" readingOrder="1"/>
    </xf>
    <xf numFmtId="164" fontId="13" fillId="0" borderId="18" xfId="1" applyNumberFormat="1" applyFont="1" applyBorder="1" applyAlignment="1">
      <alignment horizontal="right" vertical="center" wrapText="1" readingOrder="1"/>
    </xf>
    <xf numFmtId="2" fontId="17" fillId="5" borderId="17" xfId="0" applyNumberFormat="1" applyFont="1" applyFill="1" applyBorder="1" applyAlignment="1">
      <alignment vertical="center"/>
    </xf>
    <xf numFmtId="4" fontId="10" fillId="0" borderId="18" xfId="0" applyNumberFormat="1" applyFont="1" applyBorder="1"/>
    <xf numFmtId="0" fontId="10" fillId="0" borderId="18" xfId="0" applyFont="1" applyBorder="1"/>
    <xf numFmtId="4" fontId="10" fillId="5" borderId="2" xfId="0" applyNumberFormat="1" applyFont="1" applyFill="1" applyBorder="1" applyAlignment="1">
      <alignment horizontal="right" vertical="center"/>
    </xf>
    <xf numFmtId="0" fontId="24" fillId="0" borderId="22" xfId="1" applyFont="1" applyBorder="1" applyAlignment="1">
      <alignment horizontal="left" vertical="center" wrapText="1" readingOrder="1"/>
    </xf>
    <xf numFmtId="4" fontId="15" fillId="0" borderId="2" xfId="1" applyNumberFormat="1" applyFont="1" applyBorder="1" applyAlignment="1">
      <alignment horizontal="right" vertical="center" wrapText="1" readingOrder="1"/>
    </xf>
    <xf numFmtId="164" fontId="15" fillId="0" borderId="15" xfId="1" applyNumberFormat="1" applyFont="1" applyBorder="1" applyAlignment="1">
      <alignment horizontal="right" vertical="center" wrapText="1" readingOrder="1"/>
    </xf>
    <xf numFmtId="0" fontId="23" fillId="5" borderId="11" xfId="1" applyFont="1" applyFill="1" applyBorder="1" applyAlignment="1">
      <alignment horizontal="left" vertical="center" wrapText="1" readingOrder="1"/>
    </xf>
    <xf numFmtId="0" fontId="23" fillId="5" borderId="12" xfId="1" applyFont="1" applyFill="1" applyBorder="1" applyAlignment="1">
      <alignment horizontal="center" vertical="center" wrapText="1" readingOrder="1"/>
    </xf>
    <xf numFmtId="164" fontId="23" fillId="5" borderId="12" xfId="1" applyNumberFormat="1" applyFont="1" applyFill="1" applyBorder="1" applyAlignment="1">
      <alignment horizontal="right" vertical="center" wrapText="1" readingOrder="1"/>
    </xf>
    <xf numFmtId="164" fontId="23" fillId="5" borderId="13" xfId="1" applyNumberFormat="1" applyFont="1" applyFill="1" applyBorder="1" applyAlignment="1">
      <alignment horizontal="right" vertical="center" wrapText="1" readingOrder="1"/>
    </xf>
    <xf numFmtId="0" fontId="23" fillId="5" borderId="3" xfId="1" applyFont="1" applyFill="1" applyBorder="1" applyAlignment="1">
      <alignment horizontal="left" vertical="center" wrapText="1" readingOrder="1"/>
    </xf>
    <xf numFmtId="0" fontId="23" fillId="5" borderId="3" xfId="1" applyFont="1" applyFill="1" applyBorder="1" applyAlignment="1">
      <alignment horizontal="center" vertical="center" wrapText="1" readingOrder="1"/>
    </xf>
    <xf numFmtId="164" fontId="23" fillId="5" borderId="3" xfId="1" applyNumberFormat="1" applyFont="1" applyFill="1" applyBorder="1" applyAlignment="1">
      <alignment horizontal="right" vertical="center" wrapText="1" readingOrder="1"/>
    </xf>
    <xf numFmtId="164" fontId="13" fillId="5" borderId="30" xfId="1" applyNumberFormat="1" applyFont="1" applyFill="1" applyBorder="1" applyAlignment="1">
      <alignment horizontal="right" vertical="center" wrapText="1" readingOrder="1"/>
    </xf>
    <xf numFmtId="4" fontId="13" fillId="5" borderId="12" xfId="1" applyNumberFormat="1" applyFont="1" applyFill="1" applyBorder="1" applyAlignment="1">
      <alignment horizontal="right" vertical="center" wrapText="1" readingOrder="1"/>
    </xf>
    <xf numFmtId="164" fontId="13" fillId="5" borderId="13" xfId="1" applyNumberFormat="1" applyFont="1" applyFill="1" applyBorder="1" applyAlignment="1">
      <alignment horizontal="right" vertical="center" wrapText="1" readingOrder="1"/>
    </xf>
    <xf numFmtId="0" fontId="15" fillId="2" borderId="22" xfId="1" applyFont="1" applyFill="1" applyBorder="1" applyAlignment="1">
      <alignment horizontal="left" vertical="center" wrapText="1" readingOrder="1"/>
    </xf>
    <xf numFmtId="0" fontId="24" fillId="0" borderId="18" xfId="1" applyFont="1" applyBorder="1" applyAlignment="1">
      <alignment horizontal="left" vertical="center" wrapText="1" readingOrder="1"/>
    </xf>
    <xf numFmtId="164" fontId="24" fillId="0" borderId="21" xfId="1" applyNumberFormat="1" applyFont="1" applyBorder="1" applyAlignment="1">
      <alignment horizontal="right" vertical="center" wrapText="1" readingOrder="1"/>
    </xf>
    <xf numFmtId="2" fontId="44" fillId="0" borderId="0" xfId="0" applyNumberFormat="1" applyFont="1"/>
    <xf numFmtId="2" fontId="17" fillId="0" borderId="19" xfId="0" applyNumberFormat="1" applyFont="1" applyBorder="1" applyAlignment="1">
      <alignment horizontal="center" vertical="center"/>
    </xf>
    <xf numFmtId="1" fontId="20" fillId="0" borderId="11" xfId="0" applyNumberFormat="1" applyFont="1" applyBorder="1" applyAlignment="1">
      <alignment horizontal="center" vertical="center" wrapText="1"/>
    </xf>
    <xf numFmtId="2" fontId="20" fillId="0" borderId="12" xfId="0" applyNumberFormat="1" applyFont="1" applyBorder="1" applyAlignment="1">
      <alignment horizontal="left" vertical="center" wrapText="1"/>
    </xf>
    <xf numFmtId="2" fontId="20" fillId="0" borderId="12" xfId="0" applyNumberFormat="1" applyFont="1" applyBorder="1" applyAlignment="1">
      <alignment vertical="center"/>
    </xf>
    <xf numFmtId="2" fontId="20" fillId="0" borderId="13" xfId="0" applyNumberFormat="1" applyFont="1" applyBorder="1" applyAlignment="1">
      <alignment vertical="center"/>
    </xf>
    <xf numFmtId="0" fontId="30" fillId="0" borderId="32" xfId="1" applyFont="1" applyBorder="1" applyAlignment="1">
      <alignment horizontal="left" vertical="center" wrapText="1" readingOrder="1"/>
    </xf>
    <xf numFmtId="0" fontId="30" fillId="0" borderId="33" xfId="1" applyFont="1" applyBorder="1" applyAlignment="1">
      <alignment horizontal="left" vertical="center" wrapText="1" readingOrder="1"/>
    </xf>
    <xf numFmtId="164" fontId="30" fillId="2" borderId="18" xfId="1" applyNumberFormat="1" applyFont="1" applyFill="1" applyBorder="1" applyAlignment="1">
      <alignment horizontal="right" vertical="center" wrapText="1" readingOrder="1"/>
    </xf>
    <xf numFmtId="164" fontId="30" fillId="2" borderId="19" xfId="1" applyNumberFormat="1" applyFont="1" applyFill="1" applyBorder="1" applyAlignment="1">
      <alignment horizontal="right" vertical="center" wrapText="1" readingOrder="1"/>
    </xf>
    <xf numFmtId="0" fontId="20" fillId="0" borderId="28" xfId="0" applyFont="1" applyBorder="1" applyAlignment="1">
      <alignment vertical="center"/>
    </xf>
    <xf numFmtId="0" fontId="20" fillId="0" borderId="29" xfId="0" applyFont="1" applyBorder="1" applyAlignment="1">
      <alignment vertical="center" wrapText="1"/>
    </xf>
    <xf numFmtId="4" fontId="20" fillId="0" borderId="29" xfId="0" applyNumberFormat="1" applyFont="1" applyBorder="1" applyAlignment="1">
      <alignment vertical="center"/>
    </xf>
    <xf numFmtId="4" fontId="20" fillId="0" borderId="30" xfId="0" applyNumberFormat="1" applyFont="1" applyBorder="1" applyAlignment="1">
      <alignment vertical="center"/>
    </xf>
    <xf numFmtId="0" fontId="31" fillId="3" borderId="28" xfId="0" applyFont="1" applyFill="1" applyBorder="1" applyAlignment="1">
      <alignment vertical="center"/>
    </xf>
    <xf numFmtId="0" fontId="19" fillId="3" borderId="29" xfId="0" applyFont="1" applyFill="1" applyBorder="1" applyAlignment="1">
      <alignment horizontal="right" vertical="center" wrapText="1"/>
    </xf>
    <xf numFmtId="4" fontId="19" fillId="3" borderId="29" xfId="0" applyNumberFormat="1" applyFont="1" applyFill="1" applyBorder="1" applyAlignment="1">
      <alignment vertical="center"/>
    </xf>
    <xf numFmtId="0" fontId="9" fillId="0" borderId="18" xfId="0" applyFont="1" applyBorder="1" applyAlignment="1">
      <alignment horizontal="right" vertical="center"/>
    </xf>
    <xf numFmtId="2" fontId="10" fillId="0" borderId="19" xfId="0" applyNumberFormat="1" applyFont="1" applyBorder="1" applyAlignment="1">
      <alignment horizontal="right" vertical="center"/>
    </xf>
    <xf numFmtId="1" fontId="20" fillId="0" borderId="3" xfId="0" applyNumberFormat="1" applyFont="1" applyBorder="1" applyAlignment="1">
      <alignment horizontal="center" vertical="center"/>
    </xf>
    <xf numFmtId="1" fontId="19" fillId="0" borderId="11" xfId="0" applyNumberFormat="1" applyFont="1" applyBorder="1" applyAlignment="1">
      <alignment horizontal="center" vertical="center" wrapText="1"/>
    </xf>
    <xf numFmtId="2" fontId="19" fillId="0" borderId="12" xfId="0" applyNumberFormat="1" applyFont="1" applyBorder="1" applyAlignment="1">
      <alignment horizontal="left" vertical="center" wrapText="1"/>
    </xf>
    <xf numFmtId="2" fontId="19" fillId="0" borderId="12" xfId="0" applyNumberFormat="1" applyFont="1" applyBorder="1" applyAlignment="1">
      <alignment vertical="center"/>
    </xf>
    <xf numFmtId="2" fontId="19" fillId="0" borderId="13" xfId="0" applyNumberFormat="1" applyFont="1" applyBorder="1" applyAlignment="1">
      <alignment vertical="center"/>
    </xf>
    <xf numFmtId="1" fontId="20" fillId="0" borderId="16" xfId="0" applyNumberFormat="1" applyFont="1" applyBorder="1" applyAlignment="1">
      <alignment horizontal="center" vertical="center" wrapText="1"/>
    </xf>
    <xf numFmtId="2" fontId="20" fillId="0" borderId="18" xfId="0" applyNumberFormat="1" applyFont="1" applyBorder="1" applyAlignment="1">
      <alignment horizontal="left" vertical="center" wrapText="1"/>
    </xf>
    <xf numFmtId="2" fontId="20" fillId="0" borderId="18" xfId="0" applyNumberFormat="1" applyFont="1" applyBorder="1" applyAlignment="1">
      <alignment vertical="center"/>
    </xf>
    <xf numFmtId="2" fontId="20" fillId="0" borderId="19" xfId="0" applyNumberFormat="1" applyFont="1" applyBorder="1" applyAlignment="1">
      <alignment vertical="center"/>
    </xf>
    <xf numFmtId="1" fontId="20" fillId="0" borderId="14" xfId="0" applyNumberFormat="1" applyFont="1" applyBorder="1" applyAlignment="1">
      <alignment horizontal="center" vertical="center" wrapText="1"/>
    </xf>
    <xf numFmtId="2" fontId="20" fillId="0" borderId="17" xfId="0" applyNumberFormat="1" applyFont="1" applyBorder="1" applyAlignment="1">
      <alignment vertical="center"/>
    </xf>
    <xf numFmtId="1" fontId="20" fillId="0" borderId="14" xfId="0" applyNumberFormat="1" applyFont="1" applyBorder="1" applyAlignment="1">
      <alignment horizontal="left" vertical="center" wrapText="1"/>
    </xf>
    <xf numFmtId="4" fontId="15" fillId="0" borderId="3" xfId="1" applyNumberFormat="1" applyFont="1" applyBorder="1" applyAlignment="1">
      <alignment horizontal="right" vertical="center" wrapText="1" readingOrder="1"/>
    </xf>
    <xf numFmtId="0" fontId="22" fillId="0" borderId="22" xfId="1" applyFont="1" applyBorder="1" applyAlignment="1">
      <alignment horizontal="left" vertical="center" wrapText="1" readingOrder="1"/>
    </xf>
    <xf numFmtId="0" fontId="13" fillId="0" borderId="2" xfId="1" applyFont="1" applyBorder="1" applyAlignment="1">
      <alignment horizontal="center" vertical="center" wrapText="1" readingOrder="1"/>
    </xf>
    <xf numFmtId="4" fontId="17" fillId="0" borderId="2" xfId="0" applyNumberFormat="1" applyFont="1" applyBorder="1"/>
    <xf numFmtId="164" fontId="17" fillId="0" borderId="15" xfId="0" applyNumberFormat="1" applyFont="1" applyBorder="1"/>
    <xf numFmtId="164" fontId="13" fillId="2" borderId="17" xfId="1" applyNumberFormat="1" applyFont="1" applyFill="1" applyBorder="1" applyAlignment="1">
      <alignment horizontal="right" vertical="center" wrapText="1" readingOrder="1"/>
    </xf>
    <xf numFmtId="164" fontId="13" fillId="2" borderId="19" xfId="1" applyNumberFormat="1" applyFont="1" applyFill="1" applyBorder="1" applyAlignment="1">
      <alignment horizontal="right" vertical="center" wrapText="1" readingOrder="1"/>
    </xf>
    <xf numFmtId="2" fontId="17" fillId="5" borderId="30" xfId="0" applyNumberFormat="1" applyFont="1" applyFill="1" applyBorder="1" applyAlignment="1">
      <alignment vertical="center"/>
    </xf>
    <xf numFmtId="0" fontId="9" fillId="0" borderId="0" xfId="0" applyFont="1"/>
    <xf numFmtId="0" fontId="9" fillId="0" borderId="0" xfId="0" applyFont="1" applyBorder="1"/>
    <xf numFmtId="0" fontId="9" fillId="0" borderId="0" xfId="0" applyFont="1"/>
    <xf numFmtId="4" fontId="17" fillId="5" borderId="13" xfId="0" applyNumberFormat="1" applyFont="1" applyFill="1" applyBorder="1" applyAlignment="1">
      <alignment vertical="center"/>
    </xf>
    <xf numFmtId="4" fontId="20" fillId="0" borderId="1" xfId="0" applyNumberFormat="1" applyFont="1" applyBorder="1" applyAlignment="1">
      <alignment horizontal="center" vertical="center"/>
    </xf>
    <xf numFmtId="4" fontId="10" fillId="0" borderId="17" xfId="0" applyNumberFormat="1" applyFont="1" applyBorder="1" applyAlignment="1">
      <alignment vertical="center"/>
    </xf>
    <xf numFmtId="4" fontId="20" fillId="0" borderId="18" xfId="0" applyNumberFormat="1" applyFont="1" applyBorder="1" applyAlignment="1">
      <alignment horizontal="center" vertical="center"/>
    </xf>
    <xf numFmtId="0" fontId="15" fillId="2" borderId="2" xfId="1" applyFont="1" applyFill="1" applyBorder="1" applyAlignment="1">
      <alignment horizontal="left" vertical="center" wrapText="1" readingOrder="1"/>
    </xf>
    <xf numFmtId="164" fontId="15" fillId="2" borderId="2" xfId="1" applyNumberFormat="1" applyFont="1" applyFill="1" applyBorder="1" applyAlignment="1">
      <alignment horizontal="right" vertical="center" wrapText="1" readingOrder="1"/>
    </xf>
    <xf numFmtId="164" fontId="15" fillId="2" borderId="15" xfId="1" applyNumberFormat="1" applyFont="1" applyFill="1" applyBorder="1" applyAlignment="1">
      <alignment horizontal="right" vertical="center" wrapText="1" readingOrder="1"/>
    </xf>
    <xf numFmtId="0" fontId="49" fillId="0" borderId="0" xfId="2" applyFont="1"/>
    <xf numFmtId="0" fontId="50" fillId="0" borderId="0" xfId="0" applyFont="1" applyAlignment="1">
      <alignment horizontal="left"/>
    </xf>
    <xf numFmtId="4" fontId="49" fillId="0" borderId="0" xfId="2" applyNumberFormat="1" applyFont="1" applyAlignment="1">
      <alignment horizontal="center" vertical="center"/>
    </xf>
    <xf numFmtId="0" fontId="49" fillId="0" borderId="0" xfId="2" applyFont="1" applyAlignment="1">
      <alignment horizontal="center" vertical="center"/>
    </xf>
    <xf numFmtId="49" fontId="51" fillId="4" borderId="2" xfId="2" applyNumberFormat="1" applyFont="1" applyFill="1" applyBorder="1" applyAlignment="1">
      <alignment horizontal="center" vertical="center" wrapText="1"/>
    </xf>
    <xf numFmtId="0" fontId="52" fillId="4" borderId="1" xfId="2" applyNumberFormat="1" applyFont="1" applyFill="1" applyBorder="1" applyAlignment="1">
      <alignment horizontal="center" vertical="center"/>
    </xf>
    <xf numFmtId="4" fontId="49" fillId="0" borderId="0" xfId="2" applyNumberFormat="1" applyFont="1"/>
    <xf numFmtId="49" fontId="51" fillId="0" borderId="1" xfId="2" applyNumberFormat="1" applyFont="1" applyFill="1" applyBorder="1" applyAlignment="1">
      <alignment horizontal="justify" vertical="center" wrapText="1"/>
    </xf>
    <xf numFmtId="49" fontId="51" fillId="0" borderId="1" xfId="2" applyNumberFormat="1" applyFont="1" applyFill="1" applyBorder="1" applyAlignment="1">
      <alignment horizontal="center" vertical="center" wrapText="1"/>
    </xf>
    <xf numFmtId="4" fontId="51" fillId="0" borderId="1" xfId="2" applyNumberFormat="1" applyFont="1" applyFill="1" applyBorder="1" applyAlignment="1">
      <alignment horizontal="right"/>
    </xf>
    <xf numFmtId="49" fontId="17" fillId="4" borderId="1" xfId="2" applyNumberFormat="1" applyFont="1" applyFill="1" applyBorder="1" applyAlignment="1">
      <alignment horizontal="justify" vertical="center" wrapText="1"/>
    </xf>
    <xf numFmtId="49" fontId="17" fillId="4" borderId="1" xfId="2" applyNumberFormat="1" applyFont="1" applyFill="1" applyBorder="1" applyAlignment="1">
      <alignment horizontal="center" vertical="center" wrapText="1"/>
    </xf>
    <xf numFmtId="4" fontId="17" fillId="4" borderId="1" xfId="2" applyNumberFormat="1" applyFont="1" applyFill="1" applyBorder="1" applyAlignment="1">
      <alignment horizontal="right"/>
    </xf>
    <xf numFmtId="49" fontId="51" fillId="4" borderId="1" xfId="2" applyNumberFormat="1" applyFont="1" applyFill="1" applyBorder="1" applyAlignment="1">
      <alignment horizontal="justify" vertical="center" wrapText="1"/>
    </xf>
    <xf numFmtId="49" fontId="51" fillId="4" borderId="1" xfId="2" applyNumberFormat="1" applyFont="1" applyFill="1" applyBorder="1" applyAlignment="1">
      <alignment horizontal="center" vertical="center" wrapText="1"/>
    </xf>
    <xf numFmtId="4" fontId="51" fillId="4" borderId="1" xfId="2" applyNumberFormat="1" applyFont="1" applyFill="1" applyBorder="1" applyAlignment="1">
      <alignment horizontal="right"/>
    </xf>
    <xf numFmtId="49" fontId="53" fillId="0" borderId="1" xfId="2" applyNumberFormat="1" applyFont="1" applyFill="1" applyBorder="1" applyAlignment="1">
      <alignment horizontal="justify" vertical="center" wrapText="1"/>
    </xf>
    <xf numFmtId="49" fontId="53" fillId="0" borderId="1" xfId="2" applyNumberFormat="1" applyFont="1" applyFill="1" applyBorder="1" applyAlignment="1">
      <alignment horizontal="center" vertical="center" wrapText="1"/>
    </xf>
    <xf numFmtId="4" fontId="53" fillId="0" borderId="1" xfId="2" applyNumberFormat="1" applyFont="1" applyFill="1" applyBorder="1" applyAlignment="1">
      <alignment horizontal="right"/>
    </xf>
    <xf numFmtId="49" fontId="54" fillId="0" borderId="1" xfId="2" applyNumberFormat="1" applyFont="1" applyFill="1" applyBorder="1" applyAlignment="1">
      <alignment horizontal="justify" vertical="center" wrapText="1"/>
    </xf>
    <xf numFmtId="49" fontId="54" fillId="0" borderId="1" xfId="2" applyNumberFormat="1" applyFont="1" applyFill="1" applyBorder="1" applyAlignment="1">
      <alignment horizontal="center" vertical="center" wrapText="1"/>
    </xf>
    <xf numFmtId="4" fontId="54" fillId="0" borderId="1" xfId="2" applyNumberFormat="1" applyFont="1" applyFill="1" applyBorder="1" applyAlignment="1">
      <alignment horizontal="right"/>
    </xf>
    <xf numFmtId="49" fontId="51" fillId="8" borderId="1" xfId="2" applyNumberFormat="1" applyFont="1" applyFill="1" applyBorder="1" applyAlignment="1">
      <alignment horizontal="justify" vertical="center" wrapText="1"/>
    </xf>
    <xf numFmtId="49" fontId="51" fillId="8" borderId="1" xfId="2" applyNumberFormat="1" applyFont="1" applyFill="1" applyBorder="1" applyAlignment="1">
      <alignment horizontal="center" vertical="center" wrapText="1"/>
    </xf>
    <xf numFmtId="4" fontId="51" fillId="8" borderId="1" xfId="2" applyNumberFormat="1" applyFont="1" applyFill="1" applyBorder="1" applyAlignment="1">
      <alignment horizontal="right"/>
    </xf>
    <xf numFmtId="166" fontId="51" fillId="0" borderId="1" xfId="2" applyNumberFormat="1" applyFont="1" applyFill="1" applyBorder="1" applyAlignment="1">
      <alignment horizontal="justify" vertical="center" wrapText="1"/>
    </xf>
    <xf numFmtId="0" fontId="9" fillId="0" borderId="0" xfId="0" applyFont="1"/>
    <xf numFmtId="2" fontId="20" fillId="0" borderId="0" xfId="0" applyNumberFormat="1" applyFont="1" applyAlignment="1">
      <alignment horizontal="right" vertical="center"/>
    </xf>
    <xf numFmtId="2" fontId="19" fillId="0" borderId="0" xfId="0" applyNumberFormat="1" applyFont="1" applyAlignment="1">
      <alignment horizontal="right" vertical="center"/>
    </xf>
    <xf numFmtId="4" fontId="20" fillId="0" borderId="14" xfId="0" applyNumberFormat="1" applyFont="1" applyBorder="1" applyAlignment="1">
      <alignment vertical="top" wrapText="1"/>
    </xf>
    <xf numFmtId="4" fontId="20" fillId="0" borderId="1" xfId="0" applyNumberFormat="1" applyFont="1" applyBorder="1" applyAlignment="1">
      <alignment horizontal="center" vertical="top" wrapText="1"/>
    </xf>
    <xf numFmtId="4" fontId="20" fillId="0" borderId="17" xfId="0" applyNumberFormat="1" applyFont="1" applyBorder="1" applyAlignment="1">
      <alignment horizontal="center" vertical="top" wrapText="1"/>
    </xf>
    <xf numFmtId="0" fontId="20" fillId="0" borderId="14" xfId="0" applyFont="1" applyBorder="1" applyAlignment="1">
      <alignment horizontal="center" vertical="top" wrapText="1"/>
    </xf>
    <xf numFmtId="49" fontId="19" fillId="0" borderId="1" xfId="0" applyNumberFormat="1" applyFont="1" applyBorder="1" applyAlignment="1">
      <alignment horizontal="center" vertical="top" wrapText="1"/>
    </xf>
    <xf numFmtId="49" fontId="20" fillId="0" borderId="1" xfId="0" applyNumberFormat="1" applyFont="1" applyBorder="1" applyAlignment="1">
      <alignment horizontal="center" vertical="top" wrapText="1"/>
    </xf>
    <xf numFmtId="0" fontId="20" fillId="0" borderId="14" xfId="0" applyFont="1" applyBorder="1" applyAlignment="1">
      <alignment vertical="top" wrapText="1"/>
    </xf>
    <xf numFmtId="49" fontId="18" fillId="2" borderId="14" xfId="0" applyNumberFormat="1" applyFont="1" applyFill="1" applyBorder="1" applyAlignment="1">
      <alignment horizontal="left" vertical="top" wrapText="1"/>
    </xf>
    <xf numFmtId="49" fontId="18" fillId="2" borderId="1" xfId="0" applyNumberFormat="1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right" vertical="top" wrapText="1"/>
    </xf>
    <xf numFmtId="4" fontId="3" fillId="2" borderId="17" xfId="0" applyNumberFormat="1" applyFont="1" applyFill="1" applyBorder="1" applyAlignment="1">
      <alignment horizontal="right"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4" fontId="3" fillId="2" borderId="2" xfId="0" applyNumberFormat="1" applyFont="1" applyFill="1" applyBorder="1" applyAlignment="1">
      <alignment horizontal="right" vertical="top" wrapText="1"/>
    </xf>
    <xf numFmtId="4" fontId="3" fillId="2" borderId="15" xfId="0" applyNumberFormat="1" applyFont="1" applyFill="1" applyBorder="1" applyAlignment="1">
      <alignment horizontal="right" vertical="top" wrapText="1"/>
    </xf>
    <xf numFmtId="49" fontId="4" fillId="2" borderId="23" xfId="0" applyNumberFormat="1" applyFont="1" applyFill="1" applyBorder="1" applyAlignment="1">
      <alignment horizontal="left" vertical="top" wrapText="1"/>
    </xf>
    <xf numFmtId="49" fontId="4" fillId="2" borderId="3" xfId="0" applyNumberFormat="1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4" fontId="4" fillId="2" borderId="3" xfId="0" applyNumberFormat="1" applyFont="1" applyFill="1" applyBorder="1" applyAlignment="1">
      <alignment horizontal="right" vertical="top" wrapText="1"/>
    </xf>
    <xf numFmtId="4" fontId="4" fillId="2" borderId="21" xfId="0" applyNumberFormat="1" applyFont="1" applyFill="1" applyBorder="1" applyAlignment="1">
      <alignment horizontal="right" vertical="top" wrapText="1"/>
    </xf>
    <xf numFmtId="49" fontId="47" fillId="2" borderId="1" xfId="0" applyNumberFormat="1" applyFont="1" applyFill="1" applyBorder="1" applyAlignment="1">
      <alignment horizontal="center" vertical="center" wrapText="1"/>
    </xf>
    <xf numFmtId="0" fontId="47" fillId="2" borderId="1" xfId="0" applyFont="1" applyFill="1" applyBorder="1" applyAlignment="1">
      <alignment horizontal="left" vertical="center" wrapText="1"/>
    </xf>
    <xf numFmtId="0" fontId="47" fillId="2" borderId="1" xfId="0" applyFont="1" applyFill="1" applyBorder="1" applyAlignment="1">
      <alignment horizontal="center" vertical="center" wrapText="1"/>
    </xf>
    <xf numFmtId="4" fontId="47" fillId="2" borderId="1" xfId="0" applyNumberFormat="1" applyFont="1" applyFill="1" applyBorder="1" applyAlignment="1">
      <alignment horizontal="right" vertical="center" wrapText="1"/>
    </xf>
    <xf numFmtId="4" fontId="47" fillId="2" borderId="17" xfId="0" applyNumberFormat="1" applyFont="1" applyFill="1" applyBorder="1" applyAlignment="1">
      <alignment horizontal="right" vertical="center" wrapText="1"/>
    </xf>
    <xf numFmtId="4" fontId="47" fillId="2" borderId="1" xfId="0" applyNumberFormat="1" applyFont="1" applyFill="1" applyBorder="1" applyAlignment="1">
      <alignment vertical="center" wrapText="1"/>
    </xf>
    <xf numFmtId="4" fontId="47" fillId="2" borderId="1" xfId="0" applyNumberFormat="1" applyFont="1" applyFill="1" applyBorder="1" applyAlignment="1">
      <alignment horizontal="right" vertical="top" wrapText="1"/>
    </xf>
    <xf numFmtId="4" fontId="47" fillId="2" borderId="17" xfId="0" applyNumberFormat="1" applyFont="1" applyFill="1" applyBorder="1" applyAlignment="1">
      <alignment horizontal="right" vertical="top" wrapText="1"/>
    </xf>
    <xf numFmtId="49" fontId="6" fillId="2" borderId="14" xfId="0" applyNumberFormat="1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right" vertical="top" wrapText="1"/>
    </xf>
    <xf numFmtId="4" fontId="6" fillId="2" borderId="17" xfId="0" applyNumberFormat="1" applyFont="1" applyFill="1" applyBorder="1" applyAlignment="1">
      <alignment horizontal="right" vertical="top" wrapText="1"/>
    </xf>
    <xf numFmtId="49" fontId="3" fillId="2" borderId="14" xfId="0" applyNumberFormat="1" applyFont="1" applyFill="1" applyBorder="1" applyAlignment="1">
      <alignment horizontal="left" vertical="top" wrapText="1"/>
    </xf>
    <xf numFmtId="4" fontId="18" fillId="2" borderId="1" xfId="0" applyNumberFormat="1" applyFont="1" applyFill="1" applyBorder="1" applyAlignment="1">
      <alignment horizontal="right" vertical="top" wrapText="1"/>
    </xf>
    <xf numFmtId="4" fontId="18" fillId="2" borderId="17" xfId="0" applyNumberFormat="1" applyFont="1" applyFill="1" applyBorder="1" applyAlignment="1">
      <alignment horizontal="right" vertical="top" wrapText="1"/>
    </xf>
    <xf numFmtId="49" fontId="18" fillId="2" borderId="16" xfId="0" applyNumberFormat="1" applyFont="1" applyFill="1" applyBorder="1" applyAlignment="1">
      <alignment horizontal="left" vertical="top" wrapText="1"/>
    </xf>
    <xf numFmtId="49" fontId="4" fillId="2" borderId="18" xfId="0" applyNumberFormat="1" applyFont="1" applyFill="1" applyBorder="1" applyAlignment="1">
      <alignment horizontal="center" vertical="top" wrapText="1"/>
    </xf>
    <xf numFmtId="4" fontId="4" fillId="2" borderId="18" xfId="0" applyNumberFormat="1" applyFont="1" applyFill="1" applyBorder="1" applyAlignment="1">
      <alignment horizontal="right" vertical="top" wrapText="1"/>
    </xf>
    <xf numFmtId="4" fontId="4" fillId="2" borderId="19" xfId="0" applyNumberFormat="1" applyFont="1" applyFill="1" applyBorder="1" applyAlignment="1">
      <alignment horizontal="righ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left" vertical="top" wrapText="1"/>
    </xf>
    <xf numFmtId="49" fontId="5" fillId="2" borderId="14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right" vertical="top" wrapText="1"/>
    </xf>
    <xf numFmtId="4" fontId="5" fillId="2" borderId="17" xfId="0" applyNumberFormat="1" applyFont="1" applyFill="1" applyBorder="1" applyAlignment="1">
      <alignment horizontal="right" vertical="top" wrapText="1"/>
    </xf>
    <xf numFmtId="0" fontId="5" fillId="2" borderId="1" xfId="0" applyFont="1" applyFill="1" applyBorder="1"/>
    <xf numFmtId="4" fontId="5" fillId="2" borderId="1" xfId="0" applyNumberFormat="1" applyFont="1" applyFill="1" applyBorder="1"/>
    <xf numFmtId="4" fontId="5" fillId="2" borderId="17" xfId="0" applyNumberFormat="1" applyFont="1" applyFill="1" applyBorder="1"/>
    <xf numFmtId="49" fontId="4" fillId="2" borderId="16" xfId="0" applyNumberFormat="1" applyFont="1" applyFill="1" applyBorder="1" applyAlignment="1">
      <alignment horizontal="left" vertical="top" wrapText="1"/>
    </xf>
    <xf numFmtId="49" fontId="4" fillId="2" borderId="20" xfId="0" applyNumberFormat="1" applyFont="1" applyFill="1" applyBorder="1" applyAlignment="1">
      <alignment horizontal="left" vertical="top" wrapText="1"/>
    </xf>
    <xf numFmtId="49" fontId="3" fillId="3" borderId="3" xfId="0" applyNumberFormat="1" applyFont="1" applyFill="1" applyBorder="1" applyAlignment="1">
      <alignment horizontal="left" vertical="top" wrapText="1"/>
    </xf>
    <xf numFmtId="49" fontId="3" fillId="3" borderId="3" xfId="0" applyNumberFormat="1" applyFont="1" applyFill="1" applyBorder="1" applyAlignment="1">
      <alignment horizontal="center" vertical="top" wrapText="1"/>
    </xf>
    <xf numFmtId="4" fontId="46" fillId="3" borderId="3" xfId="0" applyNumberFormat="1" applyFont="1" applyFill="1" applyBorder="1" applyAlignment="1">
      <alignment horizontal="right" vertical="top" wrapText="1"/>
    </xf>
    <xf numFmtId="49" fontId="3" fillId="3" borderId="22" xfId="0" applyNumberFormat="1" applyFont="1" applyFill="1" applyBorder="1" applyAlignment="1">
      <alignment horizontal="left" vertical="top" wrapText="1"/>
    </xf>
    <xf numFmtId="4" fontId="3" fillId="3" borderId="15" xfId="0" applyNumberFormat="1" applyFont="1" applyFill="1" applyBorder="1" applyAlignment="1">
      <alignment horizontal="right" vertical="top" wrapText="1"/>
    </xf>
    <xf numFmtId="4" fontId="46" fillId="3" borderId="12" xfId="0" applyNumberFormat="1" applyFont="1" applyFill="1" applyBorder="1" applyAlignment="1">
      <alignment horizontal="right" vertical="top" wrapText="1"/>
    </xf>
    <xf numFmtId="49" fontId="4" fillId="3" borderId="12" xfId="0" applyNumberFormat="1" applyFont="1" applyFill="1" applyBorder="1" applyAlignment="1">
      <alignment horizontal="center" vertical="top" wrapText="1"/>
    </xf>
    <xf numFmtId="4" fontId="3" fillId="3" borderId="13" xfId="0" applyNumberFormat="1" applyFont="1" applyFill="1" applyBorder="1" applyAlignment="1">
      <alignment horizontal="right" vertical="top" wrapText="1"/>
    </xf>
    <xf numFmtId="49" fontId="3" fillId="3" borderId="2" xfId="0" applyNumberFormat="1" applyFont="1" applyFill="1" applyBorder="1" applyAlignment="1">
      <alignment horizontal="left" vertical="top" wrapText="1"/>
    </xf>
    <xf numFmtId="0" fontId="11" fillId="0" borderId="0" xfId="0" applyFont="1" applyAlignment="1">
      <alignment horizontal="center" vertical="top" wrapText="1"/>
    </xf>
    <xf numFmtId="0" fontId="9" fillId="0" borderId="0" xfId="0" applyFont="1"/>
    <xf numFmtId="0" fontId="11" fillId="0" borderId="10" xfId="0" applyFont="1" applyBorder="1" applyAlignment="1">
      <alignment horizontal="center" vertical="top" wrapText="1"/>
    </xf>
    <xf numFmtId="0" fontId="9" fillId="0" borderId="10" xfId="0" applyFont="1" applyBorder="1"/>
    <xf numFmtId="0" fontId="11" fillId="0" borderId="2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9" fillId="0" borderId="0" xfId="0" applyFont="1" applyAlignment="1"/>
    <xf numFmtId="0" fontId="0" fillId="0" borderId="0" xfId="0" applyAlignment="1"/>
    <xf numFmtId="0" fontId="11" fillId="0" borderId="24" xfId="0" applyFont="1" applyBorder="1" applyAlignment="1">
      <alignment horizontal="center" vertical="top" wrapText="1"/>
    </xf>
    <xf numFmtId="0" fontId="9" fillId="0" borderId="24" xfId="0" applyFont="1" applyBorder="1" applyAlignment="1"/>
    <xf numFmtId="0" fontId="0" fillId="0" borderId="24" xfId="0" applyBorder="1" applyAlignment="1"/>
    <xf numFmtId="0" fontId="9" fillId="0" borderId="0" xfId="0" applyFont="1" applyAlignment="1">
      <alignment horizontal="right"/>
    </xf>
    <xf numFmtId="0" fontId="0" fillId="0" borderId="0" xfId="0" applyAlignment="1">
      <alignment horizontal="right"/>
    </xf>
    <xf numFmtId="2" fontId="20" fillId="0" borderId="0" xfId="0" applyNumberFormat="1" applyFont="1" applyAlignment="1">
      <alignment horizontal="right" vertical="center"/>
    </xf>
    <xf numFmtId="2" fontId="19" fillId="0" borderId="0" xfId="0" applyNumberFormat="1" applyFont="1" applyAlignment="1">
      <alignment horizontal="right" vertical="center"/>
    </xf>
    <xf numFmtId="2" fontId="20" fillId="0" borderId="0" xfId="0" applyNumberFormat="1" applyFont="1" applyAlignment="1">
      <alignment horizontal="center" vertical="center"/>
    </xf>
    <xf numFmtId="2" fontId="19" fillId="3" borderId="1" xfId="0" applyNumberFormat="1" applyFont="1" applyFill="1" applyBorder="1" applyAlignment="1">
      <alignment horizontal="center" vertical="center"/>
    </xf>
    <xf numFmtId="2" fontId="32" fillId="0" borderId="0" xfId="0" applyNumberFormat="1" applyFont="1" applyAlignment="1">
      <alignment horizontal="center" vertical="center"/>
    </xf>
    <xf numFmtId="0" fontId="33" fillId="0" borderId="0" xfId="0" applyFont="1" applyAlignment="1">
      <alignment vertical="center"/>
    </xf>
    <xf numFmtId="2" fontId="32" fillId="0" borderId="0" xfId="0" applyNumberFormat="1" applyFont="1" applyAlignment="1">
      <alignment vertical="center"/>
    </xf>
    <xf numFmtId="0" fontId="33" fillId="0" borderId="10" xfId="0" applyFont="1" applyBorder="1" applyAlignment="1">
      <alignment vertical="center"/>
    </xf>
    <xf numFmtId="2" fontId="19" fillId="3" borderId="3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10" xfId="0" applyBorder="1" applyAlignment="1"/>
    <xf numFmtId="4" fontId="51" fillId="4" borderId="3" xfId="2" applyNumberFormat="1" applyFont="1" applyFill="1" applyBorder="1" applyAlignment="1">
      <alignment horizontal="center" vertical="center" wrapText="1"/>
    </xf>
    <xf numFmtId="4" fontId="51" fillId="4" borderId="2" xfId="2" applyNumberFormat="1" applyFont="1" applyFill="1" applyBorder="1" applyAlignment="1">
      <alignment horizontal="center" vertical="center" wrapText="1"/>
    </xf>
    <xf numFmtId="166" fontId="51" fillId="4" borderId="1" xfId="2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49" fontId="51" fillId="4" borderId="1" xfId="2" applyNumberFormat="1" applyFont="1" applyFill="1" applyBorder="1" applyAlignment="1">
      <alignment horizontal="center" vertical="center" wrapText="1"/>
    </xf>
    <xf numFmtId="49" fontId="51" fillId="4" borderId="35" xfId="2" applyNumberFormat="1" applyFont="1" applyFill="1" applyBorder="1" applyAlignment="1">
      <alignment horizontal="center" vertical="center" wrapText="1"/>
    </xf>
    <xf numFmtId="49" fontId="51" fillId="4" borderId="34" xfId="2" applyNumberFormat="1" applyFont="1" applyFill="1" applyBorder="1" applyAlignment="1">
      <alignment horizontal="center" vertical="center" wrapText="1"/>
    </xf>
    <xf numFmtId="0" fontId="41" fillId="0" borderId="0" xfId="0" applyFont="1" applyAlignment="1">
      <alignment wrapText="1"/>
    </xf>
  </cellXfs>
  <cellStyles count="3">
    <cellStyle name="Normal" xfId="1" xr:uid="{00000000-0005-0000-0000-000000000000}"/>
    <cellStyle name="Обычный" xfId="0" builtinId="0"/>
    <cellStyle name="Обычный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4"/>
  <sheetViews>
    <sheetView workbookViewId="0">
      <selection sqref="A1:E44"/>
    </sheetView>
  </sheetViews>
  <sheetFormatPr defaultRowHeight="15" x14ac:dyDescent="0.25"/>
  <cols>
    <col min="1" max="1" width="19.140625" style="443" customWidth="1"/>
    <col min="2" max="2" width="31.7109375" style="443" customWidth="1"/>
    <col min="3" max="3" width="11.5703125" style="209" customWidth="1"/>
    <col min="4" max="4" width="11.85546875" style="443" customWidth="1"/>
    <col min="5" max="5" width="12.42578125" style="443" customWidth="1"/>
    <col min="6" max="256" width="9.140625" style="443"/>
    <col min="257" max="257" width="24.140625" style="443" customWidth="1"/>
    <col min="258" max="258" width="48.7109375" style="443" customWidth="1"/>
    <col min="259" max="259" width="14.140625" style="443" customWidth="1"/>
    <col min="260" max="260" width="14.28515625" style="443" customWidth="1"/>
    <col min="261" max="261" width="15.28515625" style="443" customWidth="1"/>
    <col min="262" max="512" width="9.140625" style="443"/>
    <col min="513" max="513" width="24.140625" style="443" customWidth="1"/>
    <col min="514" max="514" width="48.7109375" style="443" customWidth="1"/>
    <col min="515" max="515" width="14.140625" style="443" customWidth="1"/>
    <col min="516" max="516" width="14.28515625" style="443" customWidth="1"/>
    <col min="517" max="517" width="15.28515625" style="443" customWidth="1"/>
    <col min="518" max="768" width="9.140625" style="443"/>
    <col min="769" max="769" width="24.140625" style="443" customWidth="1"/>
    <col min="770" max="770" width="48.7109375" style="443" customWidth="1"/>
    <col min="771" max="771" width="14.140625" style="443" customWidth="1"/>
    <col min="772" max="772" width="14.28515625" style="443" customWidth="1"/>
    <col min="773" max="773" width="15.28515625" style="443" customWidth="1"/>
    <col min="774" max="1024" width="9.140625" style="443"/>
    <col min="1025" max="1025" width="24.140625" style="443" customWidth="1"/>
    <col min="1026" max="1026" width="48.7109375" style="443" customWidth="1"/>
    <col min="1027" max="1027" width="14.140625" style="443" customWidth="1"/>
    <col min="1028" max="1028" width="14.28515625" style="443" customWidth="1"/>
    <col min="1029" max="1029" width="15.28515625" style="443" customWidth="1"/>
    <col min="1030" max="1280" width="9.140625" style="443"/>
    <col min="1281" max="1281" width="24.140625" style="443" customWidth="1"/>
    <col min="1282" max="1282" width="48.7109375" style="443" customWidth="1"/>
    <col min="1283" max="1283" width="14.140625" style="443" customWidth="1"/>
    <col min="1284" max="1284" width="14.28515625" style="443" customWidth="1"/>
    <col min="1285" max="1285" width="15.28515625" style="443" customWidth="1"/>
    <col min="1286" max="1536" width="9.140625" style="443"/>
    <col min="1537" max="1537" width="24.140625" style="443" customWidth="1"/>
    <col min="1538" max="1538" width="48.7109375" style="443" customWidth="1"/>
    <col min="1539" max="1539" width="14.140625" style="443" customWidth="1"/>
    <col min="1540" max="1540" width="14.28515625" style="443" customWidth="1"/>
    <col min="1541" max="1541" width="15.28515625" style="443" customWidth="1"/>
    <col min="1542" max="1792" width="9.140625" style="443"/>
    <col min="1793" max="1793" width="24.140625" style="443" customWidth="1"/>
    <col min="1794" max="1794" width="48.7109375" style="443" customWidth="1"/>
    <col min="1795" max="1795" width="14.140625" style="443" customWidth="1"/>
    <col min="1796" max="1796" width="14.28515625" style="443" customWidth="1"/>
    <col min="1797" max="1797" width="15.28515625" style="443" customWidth="1"/>
    <col min="1798" max="2048" width="9.140625" style="443"/>
    <col min="2049" max="2049" width="24.140625" style="443" customWidth="1"/>
    <col min="2050" max="2050" width="48.7109375" style="443" customWidth="1"/>
    <col min="2051" max="2051" width="14.140625" style="443" customWidth="1"/>
    <col min="2052" max="2052" width="14.28515625" style="443" customWidth="1"/>
    <col min="2053" max="2053" width="15.28515625" style="443" customWidth="1"/>
    <col min="2054" max="2304" width="9.140625" style="443"/>
    <col min="2305" max="2305" width="24.140625" style="443" customWidth="1"/>
    <col min="2306" max="2306" width="48.7109375" style="443" customWidth="1"/>
    <col min="2307" max="2307" width="14.140625" style="443" customWidth="1"/>
    <col min="2308" max="2308" width="14.28515625" style="443" customWidth="1"/>
    <col min="2309" max="2309" width="15.28515625" style="443" customWidth="1"/>
    <col min="2310" max="2560" width="9.140625" style="443"/>
    <col min="2561" max="2561" width="24.140625" style="443" customWidth="1"/>
    <col min="2562" max="2562" width="48.7109375" style="443" customWidth="1"/>
    <col min="2563" max="2563" width="14.140625" style="443" customWidth="1"/>
    <col min="2564" max="2564" width="14.28515625" style="443" customWidth="1"/>
    <col min="2565" max="2565" width="15.28515625" style="443" customWidth="1"/>
    <col min="2566" max="2816" width="9.140625" style="443"/>
    <col min="2817" max="2817" width="24.140625" style="443" customWidth="1"/>
    <col min="2818" max="2818" width="48.7109375" style="443" customWidth="1"/>
    <col min="2819" max="2819" width="14.140625" style="443" customWidth="1"/>
    <col min="2820" max="2820" width="14.28515625" style="443" customWidth="1"/>
    <col min="2821" max="2821" width="15.28515625" style="443" customWidth="1"/>
    <col min="2822" max="3072" width="9.140625" style="443"/>
    <col min="3073" max="3073" width="24.140625" style="443" customWidth="1"/>
    <col min="3074" max="3074" width="48.7109375" style="443" customWidth="1"/>
    <col min="3075" max="3075" width="14.140625" style="443" customWidth="1"/>
    <col min="3076" max="3076" width="14.28515625" style="443" customWidth="1"/>
    <col min="3077" max="3077" width="15.28515625" style="443" customWidth="1"/>
    <col min="3078" max="3328" width="9.140625" style="443"/>
    <col min="3329" max="3329" width="24.140625" style="443" customWidth="1"/>
    <col min="3330" max="3330" width="48.7109375" style="443" customWidth="1"/>
    <col min="3331" max="3331" width="14.140625" style="443" customWidth="1"/>
    <col min="3332" max="3332" width="14.28515625" style="443" customWidth="1"/>
    <col min="3333" max="3333" width="15.28515625" style="443" customWidth="1"/>
    <col min="3334" max="3584" width="9.140625" style="443"/>
    <col min="3585" max="3585" width="24.140625" style="443" customWidth="1"/>
    <col min="3586" max="3586" width="48.7109375" style="443" customWidth="1"/>
    <col min="3587" max="3587" width="14.140625" style="443" customWidth="1"/>
    <col min="3588" max="3588" width="14.28515625" style="443" customWidth="1"/>
    <col min="3589" max="3589" width="15.28515625" style="443" customWidth="1"/>
    <col min="3590" max="3840" width="9.140625" style="443"/>
    <col min="3841" max="3841" width="24.140625" style="443" customWidth="1"/>
    <col min="3842" max="3842" width="48.7109375" style="443" customWidth="1"/>
    <col min="3843" max="3843" width="14.140625" style="443" customWidth="1"/>
    <col min="3844" max="3844" width="14.28515625" style="443" customWidth="1"/>
    <col min="3845" max="3845" width="15.28515625" style="443" customWidth="1"/>
    <col min="3846" max="4096" width="9.140625" style="443"/>
    <col min="4097" max="4097" width="24.140625" style="443" customWidth="1"/>
    <col min="4098" max="4098" width="48.7109375" style="443" customWidth="1"/>
    <col min="4099" max="4099" width="14.140625" style="443" customWidth="1"/>
    <col min="4100" max="4100" width="14.28515625" style="443" customWidth="1"/>
    <col min="4101" max="4101" width="15.28515625" style="443" customWidth="1"/>
    <col min="4102" max="4352" width="9.140625" style="443"/>
    <col min="4353" max="4353" width="24.140625" style="443" customWidth="1"/>
    <col min="4354" max="4354" width="48.7109375" style="443" customWidth="1"/>
    <col min="4355" max="4355" width="14.140625" style="443" customWidth="1"/>
    <col min="4356" max="4356" width="14.28515625" style="443" customWidth="1"/>
    <col min="4357" max="4357" width="15.28515625" style="443" customWidth="1"/>
    <col min="4358" max="4608" width="9.140625" style="443"/>
    <col min="4609" max="4609" width="24.140625" style="443" customWidth="1"/>
    <col min="4610" max="4610" width="48.7109375" style="443" customWidth="1"/>
    <col min="4611" max="4611" width="14.140625" style="443" customWidth="1"/>
    <col min="4612" max="4612" width="14.28515625" style="443" customWidth="1"/>
    <col min="4613" max="4613" width="15.28515625" style="443" customWidth="1"/>
    <col min="4614" max="4864" width="9.140625" style="443"/>
    <col min="4865" max="4865" width="24.140625" style="443" customWidth="1"/>
    <col min="4866" max="4866" width="48.7109375" style="443" customWidth="1"/>
    <col min="4867" max="4867" width="14.140625" style="443" customWidth="1"/>
    <col min="4868" max="4868" width="14.28515625" style="443" customWidth="1"/>
    <col min="4869" max="4869" width="15.28515625" style="443" customWidth="1"/>
    <col min="4870" max="5120" width="9.140625" style="443"/>
    <col min="5121" max="5121" width="24.140625" style="443" customWidth="1"/>
    <col min="5122" max="5122" width="48.7109375" style="443" customWidth="1"/>
    <col min="5123" max="5123" width="14.140625" style="443" customWidth="1"/>
    <col min="5124" max="5124" width="14.28515625" style="443" customWidth="1"/>
    <col min="5125" max="5125" width="15.28515625" style="443" customWidth="1"/>
    <col min="5126" max="5376" width="9.140625" style="443"/>
    <col min="5377" max="5377" width="24.140625" style="443" customWidth="1"/>
    <col min="5378" max="5378" width="48.7109375" style="443" customWidth="1"/>
    <col min="5379" max="5379" width="14.140625" style="443" customWidth="1"/>
    <col min="5380" max="5380" width="14.28515625" style="443" customWidth="1"/>
    <col min="5381" max="5381" width="15.28515625" style="443" customWidth="1"/>
    <col min="5382" max="5632" width="9.140625" style="443"/>
    <col min="5633" max="5633" width="24.140625" style="443" customWidth="1"/>
    <col min="5634" max="5634" width="48.7109375" style="443" customWidth="1"/>
    <col min="5635" max="5635" width="14.140625" style="443" customWidth="1"/>
    <col min="5636" max="5636" width="14.28515625" style="443" customWidth="1"/>
    <col min="5637" max="5637" width="15.28515625" style="443" customWidth="1"/>
    <col min="5638" max="5888" width="9.140625" style="443"/>
    <col min="5889" max="5889" width="24.140625" style="443" customWidth="1"/>
    <col min="5890" max="5890" width="48.7109375" style="443" customWidth="1"/>
    <col min="5891" max="5891" width="14.140625" style="443" customWidth="1"/>
    <col min="5892" max="5892" width="14.28515625" style="443" customWidth="1"/>
    <col min="5893" max="5893" width="15.28515625" style="443" customWidth="1"/>
    <col min="5894" max="6144" width="9.140625" style="443"/>
    <col min="6145" max="6145" width="24.140625" style="443" customWidth="1"/>
    <col min="6146" max="6146" width="48.7109375" style="443" customWidth="1"/>
    <col min="6147" max="6147" width="14.140625" style="443" customWidth="1"/>
    <col min="6148" max="6148" width="14.28515625" style="443" customWidth="1"/>
    <col min="6149" max="6149" width="15.28515625" style="443" customWidth="1"/>
    <col min="6150" max="6400" width="9.140625" style="443"/>
    <col min="6401" max="6401" width="24.140625" style="443" customWidth="1"/>
    <col min="6402" max="6402" width="48.7109375" style="443" customWidth="1"/>
    <col min="6403" max="6403" width="14.140625" style="443" customWidth="1"/>
    <col min="6404" max="6404" width="14.28515625" style="443" customWidth="1"/>
    <col min="6405" max="6405" width="15.28515625" style="443" customWidth="1"/>
    <col min="6406" max="6656" width="9.140625" style="443"/>
    <col min="6657" max="6657" width="24.140625" style="443" customWidth="1"/>
    <col min="6658" max="6658" width="48.7109375" style="443" customWidth="1"/>
    <col min="6659" max="6659" width="14.140625" style="443" customWidth="1"/>
    <col min="6660" max="6660" width="14.28515625" style="443" customWidth="1"/>
    <col min="6661" max="6661" width="15.28515625" style="443" customWidth="1"/>
    <col min="6662" max="6912" width="9.140625" style="443"/>
    <col min="6913" max="6913" width="24.140625" style="443" customWidth="1"/>
    <col min="6914" max="6914" width="48.7109375" style="443" customWidth="1"/>
    <col min="6915" max="6915" width="14.140625" style="443" customWidth="1"/>
    <col min="6916" max="6916" width="14.28515625" style="443" customWidth="1"/>
    <col min="6917" max="6917" width="15.28515625" style="443" customWidth="1"/>
    <col min="6918" max="7168" width="9.140625" style="443"/>
    <col min="7169" max="7169" width="24.140625" style="443" customWidth="1"/>
    <col min="7170" max="7170" width="48.7109375" style="443" customWidth="1"/>
    <col min="7171" max="7171" width="14.140625" style="443" customWidth="1"/>
    <col min="7172" max="7172" width="14.28515625" style="443" customWidth="1"/>
    <col min="7173" max="7173" width="15.28515625" style="443" customWidth="1"/>
    <col min="7174" max="7424" width="9.140625" style="443"/>
    <col min="7425" max="7425" width="24.140625" style="443" customWidth="1"/>
    <col min="7426" max="7426" width="48.7109375" style="443" customWidth="1"/>
    <col min="7427" max="7427" width="14.140625" style="443" customWidth="1"/>
    <col min="7428" max="7428" width="14.28515625" style="443" customWidth="1"/>
    <col min="7429" max="7429" width="15.28515625" style="443" customWidth="1"/>
    <col min="7430" max="7680" width="9.140625" style="443"/>
    <col min="7681" max="7681" width="24.140625" style="443" customWidth="1"/>
    <col min="7682" max="7682" width="48.7109375" style="443" customWidth="1"/>
    <col min="7683" max="7683" width="14.140625" style="443" customWidth="1"/>
    <col min="7684" max="7684" width="14.28515625" style="443" customWidth="1"/>
    <col min="7685" max="7685" width="15.28515625" style="443" customWidth="1"/>
    <col min="7686" max="7936" width="9.140625" style="443"/>
    <col min="7937" max="7937" width="24.140625" style="443" customWidth="1"/>
    <col min="7938" max="7938" width="48.7109375" style="443" customWidth="1"/>
    <col min="7939" max="7939" width="14.140625" style="443" customWidth="1"/>
    <col min="7940" max="7940" width="14.28515625" style="443" customWidth="1"/>
    <col min="7941" max="7941" width="15.28515625" style="443" customWidth="1"/>
    <col min="7942" max="8192" width="9.140625" style="443"/>
    <col min="8193" max="8193" width="24.140625" style="443" customWidth="1"/>
    <col min="8194" max="8194" width="48.7109375" style="443" customWidth="1"/>
    <col min="8195" max="8195" width="14.140625" style="443" customWidth="1"/>
    <col min="8196" max="8196" width="14.28515625" style="443" customWidth="1"/>
    <col min="8197" max="8197" width="15.28515625" style="443" customWidth="1"/>
    <col min="8198" max="8448" width="9.140625" style="443"/>
    <col min="8449" max="8449" width="24.140625" style="443" customWidth="1"/>
    <col min="8450" max="8450" width="48.7109375" style="443" customWidth="1"/>
    <col min="8451" max="8451" width="14.140625" style="443" customWidth="1"/>
    <col min="8452" max="8452" width="14.28515625" style="443" customWidth="1"/>
    <col min="8453" max="8453" width="15.28515625" style="443" customWidth="1"/>
    <col min="8454" max="8704" width="9.140625" style="443"/>
    <col min="8705" max="8705" width="24.140625" style="443" customWidth="1"/>
    <col min="8706" max="8706" width="48.7109375" style="443" customWidth="1"/>
    <col min="8707" max="8707" width="14.140625" style="443" customWidth="1"/>
    <col min="8708" max="8708" width="14.28515625" style="443" customWidth="1"/>
    <col min="8709" max="8709" width="15.28515625" style="443" customWidth="1"/>
    <col min="8710" max="8960" width="9.140625" style="443"/>
    <col min="8961" max="8961" width="24.140625" style="443" customWidth="1"/>
    <col min="8962" max="8962" width="48.7109375" style="443" customWidth="1"/>
    <col min="8963" max="8963" width="14.140625" style="443" customWidth="1"/>
    <col min="8964" max="8964" width="14.28515625" style="443" customWidth="1"/>
    <col min="8965" max="8965" width="15.28515625" style="443" customWidth="1"/>
    <col min="8966" max="9216" width="9.140625" style="443"/>
    <col min="9217" max="9217" width="24.140625" style="443" customWidth="1"/>
    <col min="9218" max="9218" width="48.7109375" style="443" customWidth="1"/>
    <col min="9219" max="9219" width="14.140625" style="443" customWidth="1"/>
    <col min="9220" max="9220" width="14.28515625" style="443" customWidth="1"/>
    <col min="9221" max="9221" width="15.28515625" style="443" customWidth="1"/>
    <col min="9222" max="9472" width="9.140625" style="443"/>
    <col min="9473" max="9473" width="24.140625" style="443" customWidth="1"/>
    <col min="9474" max="9474" width="48.7109375" style="443" customWidth="1"/>
    <col min="9475" max="9475" width="14.140625" style="443" customWidth="1"/>
    <col min="9476" max="9476" width="14.28515625" style="443" customWidth="1"/>
    <col min="9477" max="9477" width="15.28515625" style="443" customWidth="1"/>
    <col min="9478" max="9728" width="9.140625" style="443"/>
    <col min="9729" max="9729" width="24.140625" style="443" customWidth="1"/>
    <col min="9730" max="9730" width="48.7109375" style="443" customWidth="1"/>
    <col min="9731" max="9731" width="14.140625" style="443" customWidth="1"/>
    <col min="9732" max="9732" width="14.28515625" style="443" customWidth="1"/>
    <col min="9733" max="9733" width="15.28515625" style="443" customWidth="1"/>
    <col min="9734" max="9984" width="9.140625" style="443"/>
    <col min="9985" max="9985" width="24.140625" style="443" customWidth="1"/>
    <col min="9986" max="9986" width="48.7109375" style="443" customWidth="1"/>
    <col min="9987" max="9987" width="14.140625" style="443" customWidth="1"/>
    <col min="9988" max="9988" width="14.28515625" style="443" customWidth="1"/>
    <col min="9989" max="9989" width="15.28515625" style="443" customWidth="1"/>
    <col min="9990" max="10240" width="9.140625" style="443"/>
    <col min="10241" max="10241" width="24.140625" style="443" customWidth="1"/>
    <col min="10242" max="10242" width="48.7109375" style="443" customWidth="1"/>
    <col min="10243" max="10243" width="14.140625" style="443" customWidth="1"/>
    <col min="10244" max="10244" width="14.28515625" style="443" customWidth="1"/>
    <col min="10245" max="10245" width="15.28515625" style="443" customWidth="1"/>
    <col min="10246" max="10496" width="9.140625" style="443"/>
    <col min="10497" max="10497" width="24.140625" style="443" customWidth="1"/>
    <col min="10498" max="10498" width="48.7109375" style="443" customWidth="1"/>
    <col min="10499" max="10499" width="14.140625" style="443" customWidth="1"/>
    <col min="10500" max="10500" width="14.28515625" style="443" customWidth="1"/>
    <col min="10501" max="10501" width="15.28515625" style="443" customWidth="1"/>
    <col min="10502" max="10752" width="9.140625" style="443"/>
    <col min="10753" max="10753" width="24.140625" style="443" customWidth="1"/>
    <col min="10754" max="10754" width="48.7109375" style="443" customWidth="1"/>
    <col min="10755" max="10755" width="14.140625" style="443" customWidth="1"/>
    <col min="10756" max="10756" width="14.28515625" style="443" customWidth="1"/>
    <col min="10757" max="10757" width="15.28515625" style="443" customWidth="1"/>
    <col min="10758" max="11008" width="9.140625" style="443"/>
    <col min="11009" max="11009" width="24.140625" style="443" customWidth="1"/>
    <col min="11010" max="11010" width="48.7109375" style="443" customWidth="1"/>
    <col min="11011" max="11011" width="14.140625" style="443" customWidth="1"/>
    <col min="11012" max="11012" width="14.28515625" style="443" customWidth="1"/>
    <col min="11013" max="11013" width="15.28515625" style="443" customWidth="1"/>
    <col min="11014" max="11264" width="9.140625" style="443"/>
    <col min="11265" max="11265" width="24.140625" style="443" customWidth="1"/>
    <col min="11266" max="11266" width="48.7109375" style="443" customWidth="1"/>
    <col min="11267" max="11267" width="14.140625" style="443" customWidth="1"/>
    <col min="11268" max="11268" width="14.28515625" style="443" customWidth="1"/>
    <col min="11269" max="11269" width="15.28515625" style="443" customWidth="1"/>
    <col min="11270" max="11520" width="9.140625" style="443"/>
    <col min="11521" max="11521" width="24.140625" style="443" customWidth="1"/>
    <col min="11522" max="11522" width="48.7109375" style="443" customWidth="1"/>
    <col min="11523" max="11523" width="14.140625" style="443" customWidth="1"/>
    <col min="11524" max="11524" width="14.28515625" style="443" customWidth="1"/>
    <col min="11525" max="11525" width="15.28515625" style="443" customWidth="1"/>
    <col min="11526" max="11776" width="9.140625" style="443"/>
    <col min="11777" max="11777" width="24.140625" style="443" customWidth="1"/>
    <col min="11778" max="11778" width="48.7109375" style="443" customWidth="1"/>
    <col min="11779" max="11779" width="14.140625" style="443" customWidth="1"/>
    <col min="11780" max="11780" width="14.28515625" style="443" customWidth="1"/>
    <col min="11781" max="11781" width="15.28515625" style="443" customWidth="1"/>
    <col min="11782" max="12032" width="9.140625" style="443"/>
    <col min="12033" max="12033" width="24.140625" style="443" customWidth="1"/>
    <col min="12034" max="12034" width="48.7109375" style="443" customWidth="1"/>
    <col min="12035" max="12035" width="14.140625" style="443" customWidth="1"/>
    <col min="12036" max="12036" width="14.28515625" style="443" customWidth="1"/>
    <col min="12037" max="12037" width="15.28515625" style="443" customWidth="1"/>
    <col min="12038" max="12288" width="9.140625" style="443"/>
    <col min="12289" max="12289" width="24.140625" style="443" customWidth="1"/>
    <col min="12290" max="12290" width="48.7109375" style="443" customWidth="1"/>
    <col min="12291" max="12291" width="14.140625" style="443" customWidth="1"/>
    <col min="12292" max="12292" width="14.28515625" style="443" customWidth="1"/>
    <col min="12293" max="12293" width="15.28515625" style="443" customWidth="1"/>
    <col min="12294" max="12544" width="9.140625" style="443"/>
    <col min="12545" max="12545" width="24.140625" style="443" customWidth="1"/>
    <col min="12546" max="12546" width="48.7109375" style="443" customWidth="1"/>
    <col min="12547" max="12547" width="14.140625" style="443" customWidth="1"/>
    <col min="12548" max="12548" width="14.28515625" style="443" customWidth="1"/>
    <col min="12549" max="12549" width="15.28515625" style="443" customWidth="1"/>
    <col min="12550" max="12800" width="9.140625" style="443"/>
    <col min="12801" max="12801" width="24.140625" style="443" customWidth="1"/>
    <col min="12802" max="12802" width="48.7109375" style="443" customWidth="1"/>
    <col min="12803" max="12803" width="14.140625" style="443" customWidth="1"/>
    <col min="12804" max="12804" width="14.28515625" style="443" customWidth="1"/>
    <col min="12805" max="12805" width="15.28515625" style="443" customWidth="1"/>
    <col min="12806" max="13056" width="9.140625" style="443"/>
    <col min="13057" max="13057" width="24.140625" style="443" customWidth="1"/>
    <col min="13058" max="13058" width="48.7109375" style="443" customWidth="1"/>
    <col min="13059" max="13059" width="14.140625" style="443" customWidth="1"/>
    <col min="13060" max="13060" width="14.28515625" style="443" customWidth="1"/>
    <col min="13061" max="13061" width="15.28515625" style="443" customWidth="1"/>
    <col min="13062" max="13312" width="9.140625" style="443"/>
    <col min="13313" max="13313" width="24.140625" style="443" customWidth="1"/>
    <col min="13314" max="13314" width="48.7109375" style="443" customWidth="1"/>
    <col min="13315" max="13315" width="14.140625" style="443" customWidth="1"/>
    <col min="13316" max="13316" width="14.28515625" style="443" customWidth="1"/>
    <col min="13317" max="13317" width="15.28515625" style="443" customWidth="1"/>
    <col min="13318" max="13568" width="9.140625" style="443"/>
    <col min="13569" max="13569" width="24.140625" style="443" customWidth="1"/>
    <col min="13570" max="13570" width="48.7109375" style="443" customWidth="1"/>
    <col min="13571" max="13571" width="14.140625" style="443" customWidth="1"/>
    <col min="13572" max="13572" width="14.28515625" style="443" customWidth="1"/>
    <col min="13573" max="13573" width="15.28515625" style="443" customWidth="1"/>
    <col min="13574" max="13824" width="9.140625" style="443"/>
    <col min="13825" max="13825" width="24.140625" style="443" customWidth="1"/>
    <col min="13826" max="13826" width="48.7109375" style="443" customWidth="1"/>
    <col min="13827" max="13827" width="14.140625" style="443" customWidth="1"/>
    <col min="13828" max="13828" width="14.28515625" style="443" customWidth="1"/>
    <col min="13829" max="13829" width="15.28515625" style="443" customWidth="1"/>
    <col min="13830" max="14080" width="9.140625" style="443"/>
    <col min="14081" max="14081" width="24.140625" style="443" customWidth="1"/>
    <col min="14082" max="14082" width="48.7109375" style="443" customWidth="1"/>
    <col min="14083" max="14083" width="14.140625" style="443" customWidth="1"/>
    <col min="14084" max="14084" width="14.28515625" style="443" customWidth="1"/>
    <col min="14085" max="14085" width="15.28515625" style="443" customWidth="1"/>
    <col min="14086" max="14336" width="9.140625" style="443"/>
    <col min="14337" max="14337" width="24.140625" style="443" customWidth="1"/>
    <col min="14338" max="14338" width="48.7109375" style="443" customWidth="1"/>
    <col min="14339" max="14339" width="14.140625" style="443" customWidth="1"/>
    <col min="14340" max="14340" width="14.28515625" style="443" customWidth="1"/>
    <col min="14341" max="14341" width="15.28515625" style="443" customWidth="1"/>
    <col min="14342" max="14592" width="9.140625" style="443"/>
    <col min="14593" max="14593" width="24.140625" style="443" customWidth="1"/>
    <col min="14594" max="14594" width="48.7109375" style="443" customWidth="1"/>
    <col min="14595" max="14595" width="14.140625" style="443" customWidth="1"/>
    <col min="14596" max="14596" width="14.28515625" style="443" customWidth="1"/>
    <col min="14597" max="14597" width="15.28515625" style="443" customWidth="1"/>
    <col min="14598" max="14848" width="9.140625" style="443"/>
    <col min="14849" max="14849" width="24.140625" style="443" customWidth="1"/>
    <col min="14850" max="14850" width="48.7109375" style="443" customWidth="1"/>
    <col min="14851" max="14851" width="14.140625" style="443" customWidth="1"/>
    <col min="14852" max="14852" width="14.28515625" style="443" customWidth="1"/>
    <col min="14853" max="14853" width="15.28515625" style="443" customWidth="1"/>
    <col min="14854" max="15104" width="9.140625" style="443"/>
    <col min="15105" max="15105" width="24.140625" style="443" customWidth="1"/>
    <col min="15106" max="15106" width="48.7109375" style="443" customWidth="1"/>
    <col min="15107" max="15107" width="14.140625" style="443" customWidth="1"/>
    <col min="15108" max="15108" width="14.28515625" style="443" customWidth="1"/>
    <col min="15109" max="15109" width="15.28515625" style="443" customWidth="1"/>
    <col min="15110" max="15360" width="9.140625" style="443"/>
    <col min="15361" max="15361" width="24.140625" style="443" customWidth="1"/>
    <col min="15362" max="15362" width="48.7109375" style="443" customWidth="1"/>
    <col min="15363" max="15363" width="14.140625" style="443" customWidth="1"/>
    <col min="15364" max="15364" width="14.28515625" style="443" customWidth="1"/>
    <col min="15365" max="15365" width="15.28515625" style="443" customWidth="1"/>
    <col min="15366" max="15616" width="9.140625" style="443"/>
    <col min="15617" max="15617" width="24.140625" style="443" customWidth="1"/>
    <col min="15618" max="15618" width="48.7109375" style="443" customWidth="1"/>
    <col min="15619" max="15619" width="14.140625" style="443" customWidth="1"/>
    <col min="15620" max="15620" width="14.28515625" style="443" customWidth="1"/>
    <col min="15621" max="15621" width="15.28515625" style="443" customWidth="1"/>
    <col min="15622" max="15872" width="9.140625" style="443"/>
    <col min="15873" max="15873" width="24.140625" style="443" customWidth="1"/>
    <col min="15874" max="15874" width="48.7109375" style="443" customWidth="1"/>
    <col min="15875" max="15875" width="14.140625" style="443" customWidth="1"/>
    <col min="15876" max="15876" width="14.28515625" style="443" customWidth="1"/>
    <col min="15877" max="15877" width="15.28515625" style="443" customWidth="1"/>
    <col min="15878" max="16128" width="9.140625" style="443"/>
    <col min="16129" max="16129" width="24.140625" style="443" customWidth="1"/>
    <col min="16130" max="16130" width="48.7109375" style="443" customWidth="1"/>
    <col min="16131" max="16131" width="14.140625" style="443" customWidth="1"/>
    <col min="16132" max="16132" width="14.28515625" style="443" customWidth="1"/>
    <col min="16133" max="16133" width="15.28515625" style="443" customWidth="1"/>
    <col min="16134" max="16384" width="9.140625" style="443"/>
  </cols>
  <sheetData>
    <row r="1" spans="1:5" x14ac:dyDescent="0.25">
      <c r="E1" s="445" t="s">
        <v>219</v>
      </c>
    </row>
    <row r="2" spans="1:5" x14ac:dyDescent="0.25">
      <c r="E2" s="444" t="s">
        <v>220</v>
      </c>
    </row>
    <row r="3" spans="1:5" x14ac:dyDescent="0.25">
      <c r="E3" s="444" t="s">
        <v>221</v>
      </c>
    </row>
    <row r="4" spans="1:5" x14ac:dyDescent="0.25">
      <c r="A4"/>
      <c r="E4" s="444" t="s">
        <v>523</v>
      </c>
    </row>
    <row r="5" spans="1:5" x14ac:dyDescent="0.25">
      <c r="A5"/>
      <c r="D5" s="206"/>
    </row>
    <row r="6" spans="1:5" ht="15.6" customHeight="1" x14ac:dyDescent="0.25">
      <c r="A6" s="506" t="s">
        <v>365</v>
      </c>
      <c r="B6" s="506"/>
      <c r="C6" s="506"/>
      <c r="D6" s="506"/>
      <c r="E6" s="507"/>
    </row>
    <row r="7" spans="1:5" ht="15.6" customHeight="1" x14ac:dyDescent="0.25">
      <c r="A7" s="506"/>
      <c r="B7" s="506"/>
      <c r="C7" s="506"/>
      <c r="D7" s="506"/>
      <c r="E7" s="507"/>
    </row>
    <row r="8" spans="1:5" ht="15.6" customHeight="1" x14ac:dyDescent="0.25">
      <c r="A8" s="508"/>
      <c r="B8" s="508"/>
      <c r="C8" s="508"/>
      <c r="D8" s="508"/>
      <c r="E8" s="509"/>
    </row>
    <row r="9" spans="1:5" ht="90" customHeight="1" x14ac:dyDescent="0.25">
      <c r="A9" s="54" t="s">
        <v>161</v>
      </c>
      <c r="B9" s="54" t="s">
        <v>11</v>
      </c>
      <c r="C9" s="210" t="s">
        <v>162</v>
      </c>
      <c r="D9" s="54" t="s">
        <v>366</v>
      </c>
      <c r="E9" s="54" t="s">
        <v>367</v>
      </c>
    </row>
    <row r="10" spans="1:5" ht="60.75" x14ac:dyDescent="0.25">
      <c r="A10" s="55"/>
      <c r="B10" s="56" t="s">
        <v>165</v>
      </c>
      <c r="C10" s="203">
        <f>C11+C26</f>
        <v>28434.455000000002</v>
      </c>
      <c r="D10" s="203">
        <f>+D11+D26</f>
        <v>1035</v>
      </c>
      <c r="E10" s="63">
        <f t="shared" ref="E10:E22" si="0">C10+D10</f>
        <v>29469.455000000002</v>
      </c>
    </row>
    <row r="11" spans="1:5" ht="21" thickBot="1" x14ac:dyDescent="0.3">
      <c r="A11" s="254"/>
      <c r="B11" s="255" t="s">
        <v>166</v>
      </c>
      <c r="C11" s="256">
        <f>C12+C14+C17+C19+C21</f>
        <v>27404.41</v>
      </c>
      <c r="D11" s="256">
        <f>+D12+D14+D17+D19+D21</f>
        <v>1035</v>
      </c>
      <c r="E11" s="257">
        <f>C11+D11</f>
        <v>28439.41</v>
      </c>
    </row>
    <row r="12" spans="1:5" ht="21" x14ac:dyDescent="0.25">
      <c r="A12" s="260" t="s">
        <v>167</v>
      </c>
      <c r="B12" s="261" t="s">
        <v>168</v>
      </c>
      <c r="C12" s="262">
        <v>2600</v>
      </c>
      <c r="D12" s="263">
        <f>D13</f>
        <v>200</v>
      </c>
      <c r="E12" s="264">
        <f>C12+D12</f>
        <v>2800</v>
      </c>
    </row>
    <row r="13" spans="1:5" ht="102.75" thickBot="1" x14ac:dyDescent="0.3">
      <c r="A13" s="230" t="s">
        <v>227</v>
      </c>
      <c r="B13" s="231" t="s">
        <v>169</v>
      </c>
      <c r="C13" s="265">
        <v>2600</v>
      </c>
      <c r="D13" s="266">
        <v>200</v>
      </c>
      <c r="E13" s="267">
        <f t="shared" si="0"/>
        <v>2800</v>
      </c>
    </row>
    <row r="14" spans="1:5" ht="78.75" x14ac:dyDescent="0.25">
      <c r="A14" s="223" t="s">
        <v>170</v>
      </c>
      <c r="B14" s="268" t="s">
        <v>171</v>
      </c>
      <c r="C14" s="225">
        <f>C15+C16</f>
        <v>2950.41</v>
      </c>
      <c r="D14" s="225">
        <f>SUM(D15:D16)</f>
        <v>700</v>
      </c>
      <c r="E14" s="270">
        <f>C14+D14</f>
        <v>3650.41</v>
      </c>
    </row>
    <row r="15" spans="1:5" ht="102" x14ac:dyDescent="0.25">
      <c r="A15" s="229" t="s">
        <v>225</v>
      </c>
      <c r="B15" s="51" t="s">
        <v>344</v>
      </c>
      <c r="C15" s="213">
        <v>1350</v>
      </c>
      <c r="D15" s="47">
        <v>320</v>
      </c>
      <c r="E15" s="271">
        <f t="shared" si="0"/>
        <v>1670</v>
      </c>
    </row>
    <row r="16" spans="1:5" ht="102.75" thickBot="1" x14ac:dyDescent="0.3">
      <c r="A16" s="230" t="s">
        <v>226</v>
      </c>
      <c r="B16" s="231" t="s">
        <v>172</v>
      </c>
      <c r="C16" s="232">
        <v>1600.41</v>
      </c>
      <c r="D16" s="272">
        <v>380</v>
      </c>
      <c r="E16" s="273">
        <f t="shared" si="0"/>
        <v>1980.41</v>
      </c>
    </row>
    <row r="17" spans="1:5" ht="26.25" customHeight="1" x14ac:dyDescent="0.25">
      <c r="A17" s="223" t="s">
        <v>173</v>
      </c>
      <c r="B17" s="224" t="s">
        <v>174</v>
      </c>
      <c r="C17" s="225">
        <f>C18</f>
        <v>410</v>
      </c>
      <c r="D17" s="269">
        <f>D18</f>
        <v>0</v>
      </c>
      <c r="E17" s="270">
        <f t="shared" si="0"/>
        <v>410</v>
      </c>
    </row>
    <row r="18" spans="1:5" ht="26.25" customHeight="1" thickBot="1" x14ac:dyDescent="0.3">
      <c r="A18" s="230" t="s">
        <v>175</v>
      </c>
      <c r="B18" s="231" t="s">
        <v>174</v>
      </c>
      <c r="C18" s="274">
        <v>410</v>
      </c>
      <c r="D18" s="274"/>
      <c r="E18" s="275">
        <f t="shared" si="0"/>
        <v>410</v>
      </c>
    </row>
    <row r="19" spans="1:5" ht="31.5" x14ac:dyDescent="0.25">
      <c r="A19" s="223" t="s">
        <v>176</v>
      </c>
      <c r="B19" s="268" t="s">
        <v>177</v>
      </c>
      <c r="C19" s="225">
        <f>C20</f>
        <v>1594</v>
      </c>
      <c r="D19" s="225">
        <f>+D20</f>
        <v>135</v>
      </c>
      <c r="E19" s="270">
        <f>C19+D19</f>
        <v>1729</v>
      </c>
    </row>
    <row r="20" spans="1:5" ht="64.5" thickBot="1" x14ac:dyDescent="0.3">
      <c r="A20" s="230" t="s">
        <v>228</v>
      </c>
      <c r="B20" s="231" t="s">
        <v>178</v>
      </c>
      <c r="C20" s="265">
        <v>1594</v>
      </c>
      <c r="D20" s="265">
        <v>135</v>
      </c>
      <c r="E20" s="267">
        <f t="shared" si="0"/>
        <v>1729</v>
      </c>
    </row>
    <row r="21" spans="1:5" ht="25.5" x14ac:dyDescent="0.25">
      <c r="A21" s="278" t="s">
        <v>179</v>
      </c>
      <c r="B21" s="268" t="s">
        <v>180</v>
      </c>
      <c r="C21" s="241">
        <v>19850</v>
      </c>
      <c r="D21" s="241">
        <f>+D22+D24</f>
        <v>0</v>
      </c>
      <c r="E21" s="242">
        <f t="shared" si="0"/>
        <v>19850</v>
      </c>
    </row>
    <row r="22" spans="1:5" ht="25.5" x14ac:dyDescent="0.25">
      <c r="A22" s="229" t="s">
        <v>181</v>
      </c>
      <c r="B22" s="51" t="s">
        <v>182</v>
      </c>
      <c r="C22" s="59">
        <v>13000</v>
      </c>
      <c r="D22" s="59">
        <f>+D23</f>
        <v>0</v>
      </c>
      <c r="E22" s="279">
        <f t="shared" si="0"/>
        <v>13000</v>
      </c>
    </row>
    <row r="23" spans="1:5" ht="51" x14ac:dyDescent="0.25">
      <c r="A23" s="229" t="s">
        <v>229</v>
      </c>
      <c r="B23" s="51" t="s">
        <v>183</v>
      </c>
      <c r="C23" s="60">
        <v>13300</v>
      </c>
      <c r="D23" s="60"/>
      <c r="E23" s="280">
        <v>13300</v>
      </c>
    </row>
    <row r="24" spans="1:5" ht="25.5" x14ac:dyDescent="0.25">
      <c r="A24" s="229" t="s">
        <v>184</v>
      </c>
      <c r="B24" s="51" t="s">
        <v>185</v>
      </c>
      <c r="C24" s="59">
        <v>6850</v>
      </c>
      <c r="D24" s="59">
        <f>D25</f>
        <v>0</v>
      </c>
      <c r="E24" s="279">
        <f>C24+D24</f>
        <v>6850</v>
      </c>
    </row>
    <row r="25" spans="1:5" ht="51.75" thickBot="1" x14ac:dyDescent="0.3">
      <c r="A25" s="230" t="s">
        <v>230</v>
      </c>
      <c r="B25" s="231" t="s">
        <v>186</v>
      </c>
      <c r="C25" s="281">
        <v>6950</v>
      </c>
      <c r="D25" s="281"/>
      <c r="E25" s="282">
        <v>6950</v>
      </c>
    </row>
    <row r="26" spans="1:5" ht="20.25" x14ac:dyDescent="0.25">
      <c r="A26" s="276"/>
      <c r="B26" s="277" t="s">
        <v>187</v>
      </c>
      <c r="C26" s="258">
        <v>1030.0450000000001</v>
      </c>
      <c r="D26" s="258">
        <f>+D27</f>
        <v>0</v>
      </c>
      <c r="E26" s="259">
        <f>+E27</f>
        <v>1030.0450000000001</v>
      </c>
    </row>
    <row r="27" spans="1:5" ht="63.75" x14ac:dyDescent="0.25">
      <c r="A27" s="49" t="s">
        <v>188</v>
      </c>
      <c r="B27" s="44" t="s">
        <v>189</v>
      </c>
      <c r="C27" s="211">
        <v>1030.0450000000001</v>
      </c>
      <c r="D27" s="211">
        <f>SUM(D28:D29)</f>
        <v>0</v>
      </c>
      <c r="E27" s="48">
        <f t="shared" ref="E27:E38" si="1">C27+D27</f>
        <v>1030.0450000000001</v>
      </c>
    </row>
    <row r="28" spans="1:5" ht="102" x14ac:dyDescent="0.25">
      <c r="A28" s="61" t="s">
        <v>190</v>
      </c>
      <c r="B28" s="61" t="s">
        <v>191</v>
      </c>
      <c r="C28" s="213">
        <v>144.495</v>
      </c>
      <c r="D28" s="62"/>
      <c r="E28" s="62">
        <f t="shared" si="1"/>
        <v>144.495</v>
      </c>
    </row>
    <row r="29" spans="1:5" ht="114.75" x14ac:dyDescent="0.25">
      <c r="A29" s="51" t="s">
        <v>192</v>
      </c>
      <c r="B29" s="51" t="s">
        <v>193</v>
      </c>
      <c r="C29" s="213">
        <v>885.55</v>
      </c>
      <c r="D29" s="62"/>
      <c r="E29" s="62">
        <f t="shared" si="1"/>
        <v>885.55</v>
      </c>
    </row>
    <row r="30" spans="1:5" ht="25.5" x14ac:dyDescent="0.25">
      <c r="A30" s="72" t="s">
        <v>194</v>
      </c>
      <c r="B30" s="54" t="s">
        <v>195</v>
      </c>
      <c r="C30" s="203">
        <f>C31</f>
        <v>60204.235999999997</v>
      </c>
      <c r="D30" s="203">
        <f>+D31</f>
        <v>-555.23900000000003</v>
      </c>
      <c r="E30" s="63">
        <f t="shared" si="1"/>
        <v>59648.996999999996</v>
      </c>
    </row>
    <row r="31" spans="1:5" ht="64.5" thickBot="1" x14ac:dyDescent="0.3">
      <c r="A31" s="234" t="s">
        <v>196</v>
      </c>
      <c r="B31" s="235" t="s">
        <v>197</v>
      </c>
      <c r="C31" s="236">
        <f>C32+C33+C39+C42</f>
        <v>60204.235999999997</v>
      </c>
      <c r="D31" s="236">
        <f>+D32+D33+D39+D42</f>
        <v>-555.23900000000003</v>
      </c>
      <c r="E31" s="283">
        <f>C31+D31</f>
        <v>59648.996999999996</v>
      </c>
    </row>
    <row r="32" spans="1:5" ht="39" thickBot="1" x14ac:dyDescent="0.3">
      <c r="A32" s="335" t="s">
        <v>198</v>
      </c>
      <c r="B32" s="336" t="s">
        <v>199</v>
      </c>
      <c r="C32" s="252">
        <v>16171.5</v>
      </c>
      <c r="D32" s="337"/>
      <c r="E32" s="362">
        <f t="shared" si="1"/>
        <v>16171.5</v>
      </c>
    </row>
    <row r="33" spans="1:5" ht="38.25" x14ac:dyDescent="0.25">
      <c r="A33" s="324" t="s">
        <v>200</v>
      </c>
      <c r="B33" s="325" t="s">
        <v>201</v>
      </c>
      <c r="C33" s="363">
        <f>C34+C35+C36+C37+C38</f>
        <v>34373.81</v>
      </c>
      <c r="D33" s="363">
        <f>SUM(D34:D38)</f>
        <v>-600.23900000000003</v>
      </c>
      <c r="E33" s="364">
        <f>C33+D33</f>
        <v>33773.570999999996</v>
      </c>
    </row>
    <row r="34" spans="1:5" ht="51" x14ac:dyDescent="0.25">
      <c r="A34" s="352" t="s">
        <v>376</v>
      </c>
      <c r="B34" s="276" t="s">
        <v>377</v>
      </c>
      <c r="C34" s="353">
        <v>1668.6</v>
      </c>
      <c r="D34" s="353"/>
      <c r="E34" s="354">
        <f t="shared" si="1"/>
        <v>1668.6</v>
      </c>
    </row>
    <row r="35" spans="1:5" s="71" customFormat="1" ht="36" x14ac:dyDescent="0.2">
      <c r="A35" s="227" t="s">
        <v>202</v>
      </c>
      <c r="B35" s="69" t="s">
        <v>203</v>
      </c>
      <c r="C35" s="214">
        <v>13407.65</v>
      </c>
      <c r="D35" s="70"/>
      <c r="E35" s="284">
        <f t="shared" si="1"/>
        <v>13407.65</v>
      </c>
    </row>
    <row r="36" spans="1:5" s="71" customFormat="1" ht="108" x14ac:dyDescent="0.2">
      <c r="A36" s="227" t="s">
        <v>378</v>
      </c>
      <c r="B36" s="69" t="s">
        <v>379</v>
      </c>
      <c r="C36" s="214">
        <v>9183.9599999999991</v>
      </c>
      <c r="D36" s="70"/>
      <c r="E36" s="284">
        <f t="shared" si="1"/>
        <v>9183.9599999999991</v>
      </c>
    </row>
    <row r="37" spans="1:5" ht="25.5" x14ac:dyDescent="0.25">
      <c r="A37" s="229" t="s">
        <v>204</v>
      </c>
      <c r="B37" s="51" t="s">
        <v>205</v>
      </c>
      <c r="C37" s="199">
        <v>10113.6</v>
      </c>
      <c r="D37" s="47">
        <v>-600.23900000000003</v>
      </c>
      <c r="E37" s="284">
        <f t="shared" si="1"/>
        <v>9513.3610000000008</v>
      </c>
    </row>
    <row r="38" spans="1:5" ht="51.75" thickBot="1" x14ac:dyDescent="0.3">
      <c r="A38" s="287" t="s">
        <v>206</v>
      </c>
      <c r="B38" s="288" t="s">
        <v>207</v>
      </c>
      <c r="C38" s="399">
        <v>0</v>
      </c>
      <c r="D38" s="302"/>
      <c r="E38" s="367">
        <f t="shared" si="1"/>
        <v>0</v>
      </c>
    </row>
    <row r="39" spans="1:5" ht="38.25" x14ac:dyDescent="0.25">
      <c r="A39" s="223" t="s">
        <v>208</v>
      </c>
      <c r="B39" s="224" t="s">
        <v>209</v>
      </c>
      <c r="C39" s="241">
        <f>C40+C41</f>
        <v>300.91999999999996</v>
      </c>
      <c r="D39" s="241">
        <f>SUM(D40:D41)</f>
        <v>0</v>
      </c>
      <c r="E39" s="285">
        <f>C39+D39</f>
        <v>300.91999999999996</v>
      </c>
    </row>
    <row r="40" spans="1:5" ht="51" x14ac:dyDescent="0.25">
      <c r="A40" s="229" t="s">
        <v>210</v>
      </c>
      <c r="B40" s="51" t="s">
        <v>211</v>
      </c>
      <c r="C40" s="213">
        <v>3.52</v>
      </c>
      <c r="D40" s="62">
        <v>0</v>
      </c>
      <c r="E40" s="404">
        <f t="shared" ref="E40:E41" si="2">C40+D40</f>
        <v>3.52</v>
      </c>
    </row>
    <row r="41" spans="1:5" ht="64.5" thickBot="1" x14ac:dyDescent="0.3">
      <c r="A41" s="230" t="s">
        <v>212</v>
      </c>
      <c r="B41" s="231" t="s">
        <v>213</v>
      </c>
      <c r="C41" s="244">
        <v>297.39999999999998</v>
      </c>
      <c r="D41" s="286">
        <v>0</v>
      </c>
      <c r="E41" s="405">
        <f t="shared" si="2"/>
        <v>297.39999999999998</v>
      </c>
    </row>
    <row r="42" spans="1:5" ht="24" x14ac:dyDescent="0.25">
      <c r="A42" s="400" t="s">
        <v>214</v>
      </c>
      <c r="B42" s="401" t="s">
        <v>102</v>
      </c>
      <c r="C42" s="402">
        <f>C43</f>
        <v>9358.0059999999994</v>
      </c>
      <c r="D42" s="402">
        <f>D43</f>
        <v>45</v>
      </c>
      <c r="E42" s="403">
        <f>C42+D42</f>
        <v>9403.0059999999994</v>
      </c>
    </row>
    <row r="43" spans="1:5" ht="39" thickBot="1" x14ac:dyDescent="0.3">
      <c r="A43" s="230" t="s">
        <v>215</v>
      </c>
      <c r="B43" s="231" t="s">
        <v>216</v>
      </c>
      <c r="C43" s="232">
        <v>9358.0059999999994</v>
      </c>
      <c r="D43" s="272">
        <f>45</f>
        <v>45</v>
      </c>
      <c r="E43" s="273">
        <f>C43+D43</f>
        <v>9403.0059999999994</v>
      </c>
    </row>
    <row r="44" spans="1:5" ht="18.75" x14ac:dyDescent="0.25">
      <c r="A44" s="245"/>
      <c r="B44" s="246" t="s">
        <v>217</v>
      </c>
      <c r="C44" s="290">
        <f>+C30+C10</f>
        <v>88638.690999999992</v>
      </c>
      <c r="D44" s="290">
        <f>+D30+D10</f>
        <v>479.76099999999997</v>
      </c>
      <c r="E44" s="291">
        <f>+E30+E10</f>
        <v>89118.45199999999</v>
      </c>
    </row>
  </sheetData>
  <mergeCells count="1">
    <mergeCell ref="A6:E8"/>
  </mergeCells>
  <pageMargins left="0.70866141732283472" right="0" top="0" bottom="0" header="0.31496062992125984" footer="0.31496062992125984"/>
  <pageSetup paperSize="9" fitToWidth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M127"/>
  <sheetViews>
    <sheetView showGridLines="0" topLeftCell="A55" workbookViewId="0">
      <selection sqref="A1:I127"/>
    </sheetView>
  </sheetViews>
  <sheetFormatPr defaultColWidth="6.5703125" defaultRowHeight="12.75" x14ac:dyDescent="0.2"/>
  <cols>
    <col min="1" max="1" width="38.28515625" style="417" customWidth="1"/>
    <col min="2" max="2" width="5.85546875" style="417" bestFit="1" customWidth="1"/>
    <col min="3" max="4" width="4.140625" style="417" bestFit="1" customWidth="1"/>
    <col min="5" max="5" width="15.85546875" style="417" bestFit="1" customWidth="1"/>
    <col min="6" max="6" width="5.28515625" style="417" bestFit="1" customWidth="1"/>
    <col min="7" max="7" width="15.140625" style="423" bestFit="1" customWidth="1"/>
    <col min="8" max="9" width="14.28515625" style="423" bestFit="1" customWidth="1"/>
    <col min="10" max="10" width="7.7109375" style="423" bestFit="1" customWidth="1"/>
    <col min="11" max="11" width="10.140625" style="423" customWidth="1"/>
    <col min="12" max="12" width="6.7109375" style="423" bestFit="1" customWidth="1"/>
    <col min="13" max="13" width="6.5703125" style="423"/>
    <col min="14" max="16384" width="6.5703125" style="417"/>
  </cols>
  <sheetData>
    <row r="1" spans="1:13" s="73" customFormat="1" x14ac:dyDescent="0.2">
      <c r="D1" s="417"/>
      <c r="G1" s="73" t="s">
        <v>231</v>
      </c>
    </row>
    <row r="2" spans="1:13" s="73" customFormat="1" x14ac:dyDescent="0.2">
      <c r="D2" s="417"/>
      <c r="G2" s="73" t="s">
        <v>232</v>
      </c>
    </row>
    <row r="3" spans="1:13" s="73" customFormat="1" x14ac:dyDescent="0.2">
      <c r="D3" s="417"/>
      <c r="G3" s="73" t="s">
        <v>221</v>
      </c>
    </row>
    <row r="4" spans="1:13" s="73" customFormat="1" ht="11.25" customHeight="1" x14ac:dyDescent="0.2">
      <c r="A4" s="418"/>
      <c r="B4" s="74"/>
      <c r="C4" s="74"/>
      <c r="D4" s="417"/>
      <c r="E4" s="74"/>
      <c r="F4" s="75"/>
      <c r="G4" s="75" t="s">
        <v>523</v>
      </c>
    </row>
    <row r="5" spans="1:13" s="73" customFormat="1" x14ac:dyDescent="0.2">
      <c r="A5" s="550" t="s">
        <v>257</v>
      </c>
      <c r="B5" s="550"/>
      <c r="C5" s="550"/>
      <c r="D5" s="550"/>
      <c r="E5" s="550"/>
      <c r="F5" s="550"/>
      <c r="G5" s="550"/>
      <c r="H5" s="550"/>
    </row>
    <row r="6" spans="1:13" s="73" customFormat="1" ht="15.75" customHeight="1" x14ac:dyDescent="0.2">
      <c r="A6" s="550"/>
      <c r="B6" s="550"/>
      <c r="C6" s="550"/>
      <c r="D6" s="550"/>
      <c r="E6" s="550"/>
      <c r="F6" s="550"/>
      <c r="G6" s="550"/>
      <c r="H6" s="550"/>
    </row>
    <row r="7" spans="1:13" s="73" customFormat="1" ht="6" customHeight="1" x14ac:dyDescent="0.2">
      <c r="A7" s="550"/>
      <c r="B7" s="550"/>
      <c r="C7" s="550"/>
      <c r="D7" s="550"/>
      <c r="E7" s="550"/>
      <c r="F7" s="550"/>
      <c r="G7" s="550"/>
      <c r="H7" s="550"/>
    </row>
    <row r="8" spans="1:13" s="73" customFormat="1" ht="13.5" customHeight="1" x14ac:dyDescent="0.2">
      <c r="A8" s="75"/>
      <c r="B8" s="75"/>
      <c r="F8" s="417"/>
      <c r="I8" s="75" t="s">
        <v>233</v>
      </c>
    </row>
    <row r="9" spans="1:13" s="420" customFormat="1" x14ac:dyDescent="0.2">
      <c r="A9" s="549" t="s">
        <v>11</v>
      </c>
      <c r="B9" s="551" t="s">
        <v>6</v>
      </c>
      <c r="C9" s="551"/>
      <c r="D9" s="551"/>
      <c r="E9" s="551"/>
      <c r="F9" s="551"/>
      <c r="G9" s="547" t="s">
        <v>521</v>
      </c>
      <c r="H9" s="547" t="s">
        <v>520</v>
      </c>
      <c r="I9" s="547" t="s">
        <v>519</v>
      </c>
      <c r="J9" s="419"/>
      <c r="K9" s="419"/>
      <c r="L9" s="419"/>
      <c r="M9" s="419"/>
    </row>
    <row r="10" spans="1:13" s="420" customFormat="1" ht="25.5" x14ac:dyDescent="0.2">
      <c r="A10" s="549"/>
      <c r="B10" s="421" t="s">
        <v>7</v>
      </c>
      <c r="C10" s="552" t="s">
        <v>10</v>
      </c>
      <c r="D10" s="553"/>
      <c r="E10" s="421" t="s">
        <v>9</v>
      </c>
      <c r="F10" s="421" t="s">
        <v>8</v>
      </c>
      <c r="G10" s="548"/>
      <c r="H10" s="548"/>
      <c r="I10" s="548"/>
      <c r="J10" s="419"/>
      <c r="K10" s="419"/>
      <c r="L10" s="419"/>
      <c r="M10" s="419"/>
    </row>
    <row r="11" spans="1:13" x14ac:dyDescent="0.2">
      <c r="A11" s="422">
        <v>1</v>
      </c>
      <c r="B11" s="422">
        <v>2</v>
      </c>
      <c r="C11" s="422">
        <v>3</v>
      </c>
      <c r="D11" s="422">
        <v>4</v>
      </c>
      <c r="E11" s="422">
        <v>5</v>
      </c>
      <c r="F11" s="422">
        <v>6</v>
      </c>
      <c r="G11" s="422">
        <v>7</v>
      </c>
      <c r="H11" s="422">
        <v>8</v>
      </c>
      <c r="I11" s="422">
        <v>9</v>
      </c>
    </row>
    <row r="12" spans="1:13" ht="63.75" x14ac:dyDescent="0.2">
      <c r="A12" s="424" t="s">
        <v>518</v>
      </c>
      <c r="B12" s="425" t="s">
        <v>13</v>
      </c>
      <c r="C12" s="425"/>
      <c r="D12" s="425"/>
      <c r="E12" s="425"/>
      <c r="F12" s="425"/>
      <c r="G12" s="426">
        <f>G13+G47+G51+G59+G70+G95+G100+G118+G124</f>
        <v>95357.446469999995</v>
      </c>
      <c r="H12" s="426">
        <f>H13+H47+H51+H59+H70+H95+H100+H118+H124</f>
        <v>53164.237650000003</v>
      </c>
      <c r="I12" s="426">
        <f>I13+I47+I51+I59+I70+I95+I100+I118+I124</f>
        <v>49703.966360000006</v>
      </c>
    </row>
    <row r="13" spans="1:13" x14ac:dyDescent="0.2">
      <c r="A13" s="427" t="s">
        <v>15</v>
      </c>
      <c r="B13" s="428" t="s">
        <v>13</v>
      </c>
      <c r="C13" s="428" t="s">
        <v>463</v>
      </c>
      <c r="D13" s="428" t="s">
        <v>456</v>
      </c>
      <c r="E13" s="428"/>
      <c r="F13" s="428"/>
      <c r="G13" s="429">
        <f>G14+G16+G37+G41+G43</f>
        <v>24061.780500000001</v>
      </c>
      <c r="H13" s="429">
        <f>H14+H16+H37+H41+H43</f>
        <v>16813.32</v>
      </c>
      <c r="I13" s="429">
        <f>I14+I16+I37+I41+I43</f>
        <v>17044.32</v>
      </c>
    </row>
    <row r="14" spans="1:13" ht="63.75" x14ac:dyDescent="0.2">
      <c r="A14" s="430" t="s">
        <v>17</v>
      </c>
      <c r="B14" s="431" t="s">
        <v>13</v>
      </c>
      <c r="C14" s="431" t="s">
        <v>463</v>
      </c>
      <c r="D14" s="431" t="s">
        <v>473</v>
      </c>
      <c r="E14" s="431"/>
      <c r="F14" s="431"/>
      <c r="G14" s="432">
        <f>SUM(G15)</f>
        <v>0</v>
      </c>
      <c r="H14" s="432">
        <f>SUM(H15)</f>
        <v>200</v>
      </c>
      <c r="I14" s="432">
        <f>SUM(I15)</f>
        <v>300</v>
      </c>
    </row>
    <row r="15" spans="1:13" ht="63.75" x14ac:dyDescent="0.2">
      <c r="A15" s="433" t="s">
        <v>19</v>
      </c>
      <c r="B15" s="434" t="s">
        <v>13</v>
      </c>
      <c r="C15" s="434" t="s">
        <v>463</v>
      </c>
      <c r="D15" s="434" t="s">
        <v>473</v>
      </c>
      <c r="E15" s="434" t="s">
        <v>517</v>
      </c>
      <c r="F15" s="434" t="s">
        <v>18</v>
      </c>
      <c r="G15" s="435">
        <v>0</v>
      </c>
      <c r="H15" s="435">
        <v>200</v>
      </c>
      <c r="I15" s="435">
        <v>300</v>
      </c>
    </row>
    <row r="16" spans="1:13" ht="63.75" x14ac:dyDescent="0.2">
      <c r="A16" s="430" t="s">
        <v>21</v>
      </c>
      <c r="B16" s="431" t="s">
        <v>13</v>
      </c>
      <c r="C16" s="431" t="s">
        <v>463</v>
      </c>
      <c r="D16" s="431" t="s">
        <v>457</v>
      </c>
      <c r="E16" s="431"/>
      <c r="F16" s="431"/>
      <c r="G16" s="432">
        <f>SUM(G17:G36)</f>
        <v>15514.140500000001</v>
      </c>
      <c r="H16" s="432">
        <f>SUM(H17:H36)</f>
        <v>15213.32</v>
      </c>
      <c r="I16" s="432">
        <f>SUM(I17:I36)</f>
        <v>15344.32</v>
      </c>
    </row>
    <row r="17" spans="1:13" ht="25.5" x14ac:dyDescent="0.2">
      <c r="A17" s="433" t="s">
        <v>498</v>
      </c>
      <c r="B17" s="434" t="s">
        <v>13</v>
      </c>
      <c r="C17" s="434" t="s">
        <v>463</v>
      </c>
      <c r="D17" s="434" t="s">
        <v>457</v>
      </c>
      <c r="E17" s="434" t="s">
        <v>516</v>
      </c>
      <c r="F17" s="434" t="s">
        <v>22</v>
      </c>
      <c r="G17" s="435">
        <f>6900-50-60</f>
        <v>6790</v>
      </c>
      <c r="H17" s="435">
        <v>6900</v>
      </c>
      <c r="I17" s="435">
        <v>6900</v>
      </c>
    </row>
    <row r="18" spans="1:13" ht="51" x14ac:dyDescent="0.2">
      <c r="A18" s="433" t="s">
        <v>497</v>
      </c>
      <c r="B18" s="434" t="s">
        <v>13</v>
      </c>
      <c r="C18" s="434" t="s">
        <v>463</v>
      </c>
      <c r="D18" s="434" t="s">
        <v>457</v>
      </c>
      <c r="E18" s="434" t="s">
        <v>516</v>
      </c>
      <c r="F18" s="434" t="s">
        <v>62</v>
      </c>
      <c r="G18" s="435">
        <f>2100-50</f>
        <v>2050</v>
      </c>
      <c r="H18" s="435">
        <v>2083.8000000000002</v>
      </c>
      <c r="I18" s="435">
        <v>2083.8000000000002</v>
      </c>
    </row>
    <row r="19" spans="1:13" ht="25.5" x14ac:dyDescent="0.2">
      <c r="A19" s="433" t="s">
        <v>498</v>
      </c>
      <c r="B19" s="434" t="s">
        <v>13</v>
      </c>
      <c r="C19" s="434" t="s">
        <v>463</v>
      </c>
      <c r="D19" s="434" t="s">
        <v>457</v>
      </c>
      <c r="E19" s="434" t="s">
        <v>515</v>
      </c>
      <c r="F19" s="434" t="s">
        <v>22</v>
      </c>
      <c r="G19" s="435">
        <f>1400-50-100</f>
        <v>1250</v>
      </c>
      <c r="H19" s="435">
        <v>1500</v>
      </c>
      <c r="I19" s="435">
        <v>1600</v>
      </c>
    </row>
    <row r="20" spans="1:13" ht="51" x14ac:dyDescent="0.2">
      <c r="A20" s="433" t="s">
        <v>497</v>
      </c>
      <c r="B20" s="434" t="s">
        <v>13</v>
      </c>
      <c r="C20" s="434" t="s">
        <v>463</v>
      </c>
      <c r="D20" s="434" t="s">
        <v>457</v>
      </c>
      <c r="E20" s="434" t="s">
        <v>515</v>
      </c>
      <c r="F20" s="434" t="s">
        <v>62</v>
      </c>
      <c r="G20" s="435">
        <f>423-50</f>
        <v>373</v>
      </c>
      <c r="H20" s="435">
        <v>453</v>
      </c>
      <c r="I20" s="435">
        <v>484</v>
      </c>
    </row>
    <row r="21" spans="1:13" ht="25.5" x14ac:dyDescent="0.2">
      <c r="A21" s="433" t="s">
        <v>498</v>
      </c>
      <c r="B21" s="434" t="s">
        <v>13</v>
      </c>
      <c r="C21" s="434" t="s">
        <v>463</v>
      </c>
      <c r="D21" s="434" t="s">
        <v>457</v>
      </c>
      <c r="E21" s="434" t="s">
        <v>514</v>
      </c>
      <c r="F21" s="434" t="s">
        <v>22</v>
      </c>
      <c r="G21" s="435">
        <v>114.2505</v>
      </c>
      <c r="H21" s="435">
        <v>0</v>
      </c>
      <c r="I21" s="435">
        <v>0</v>
      </c>
    </row>
    <row r="22" spans="1:13" ht="51" x14ac:dyDescent="0.2">
      <c r="A22" s="433" t="s">
        <v>497</v>
      </c>
      <c r="B22" s="434" t="s">
        <v>13</v>
      </c>
      <c r="C22" s="434" t="s">
        <v>463</v>
      </c>
      <c r="D22" s="434" t="s">
        <v>457</v>
      </c>
      <c r="E22" s="434" t="s">
        <v>514</v>
      </c>
      <c r="F22" s="434" t="s">
        <v>62</v>
      </c>
      <c r="G22" s="435">
        <v>34.51</v>
      </c>
      <c r="H22" s="435">
        <v>0</v>
      </c>
      <c r="I22" s="435">
        <v>0</v>
      </c>
      <c r="J22" s="417"/>
      <c r="K22" s="417"/>
      <c r="L22" s="417"/>
      <c r="M22" s="417"/>
    </row>
    <row r="23" spans="1:13" ht="25.5" x14ac:dyDescent="0.2">
      <c r="A23" s="433" t="s">
        <v>498</v>
      </c>
      <c r="B23" s="434" t="s">
        <v>13</v>
      </c>
      <c r="C23" s="434" t="s">
        <v>463</v>
      </c>
      <c r="D23" s="434" t="s">
        <v>457</v>
      </c>
      <c r="E23" s="434" t="s">
        <v>513</v>
      </c>
      <c r="F23" s="434" t="s">
        <v>22</v>
      </c>
      <c r="G23" s="435">
        <f>1002+54</f>
        <v>1056</v>
      </c>
      <c r="H23" s="435">
        <v>1043</v>
      </c>
      <c r="I23" s="435">
        <v>1043</v>
      </c>
      <c r="J23" s="417"/>
      <c r="K23" s="417"/>
      <c r="L23" s="417"/>
      <c r="M23" s="417"/>
    </row>
    <row r="24" spans="1:13" ht="38.25" x14ac:dyDescent="0.2">
      <c r="A24" s="433" t="s">
        <v>84</v>
      </c>
      <c r="B24" s="434" t="s">
        <v>13</v>
      </c>
      <c r="C24" s="434" t="s">
        <v>463</v>
      </c>
      <c r="D24" s="434" t="s">
        <v>457</v>
      </c>
      <c r="E24" s="434" t="s">
        <v>513</v>
      </c>
      <c r="F24" s="434" t="s">
        <v>85</v>
      </c>
      <c r="G24" s="435">
        <v>15</v>
      </c>
      <c r="H24" s="435">
        <v>15</v>
      </c>
      <c r="I24" s="435">
        <v>15</v>
      </c>
      <c r="J24" s="417"/>
      <c r="K24" s="417"/>
      <c r="L24" s="417"/>
      <c r="M24" s="417"/>
    </row>
    <row r="25" spans="1:13" ht="51" x14ac:dyDescent="0.2">
      <c r="A25" s="433" t="s">
        <v>497</v>
      </c>
      <c r="B25" s="434" t="s">
        <v>13</v>
      </c>
      <c r="C25" s="434" t="s">
        <v>463</v>
      </c>
      <c r="D25" s="434" t="s">
        <v>457</v>
      </c>
      <c r="E25" s="434" t="s">
        <v>513</v>
      </c>
      <c r="F25" s="434" t="s">
        <v>62</v>
      </c>
      <c r="G25" s="435">
        <f>303+2</f>
        <v>305</v>
      </c>
      <c r="H25" s="435">
        <v>315</v>
      </c>
      <c r="I25" s="435">
        <v>315</v>
      </c>
      <c r="J25" s="417"/>
      <c r="K25" s="417"/>
      <c r="L25" s="417"/>
      <c r="M25" s="417"/>
    </row>
    <row r="26" spans="1:13" ht="38.25" x14ac:dyDescent="0.2">
      <c r="A26" s="433" t="s">
        <v>470</v>
      </c>
      <c r="B26" s="434" t="s">
        <v>13</v>
      </c>
      <c r="C26" s="434" t="s">
        <v>463</v>
      </c>
      <c r="D26" s="434" t="s">
        <v>457</v>
      </c>
      <c r="E26" s="434" t="s">
        <v>513</v>
      </c>
      <c r="F26" s="434" t="s">
        <v>67</v>
      </c>
      <c r="G26" s="435">
        <f>830.8+5+78</f>
        <v>913.8</v>
      </c>
      <c r="H26" s="435">
        <v>600</v>
      </c>
      <c r="I26" s="435">
        <v>600</v>
      </c>
      <c r="J26" s="417"/>
      <c r="K26" s="417"/>
      <c r="L26" s="417"/>
      <c r="M26" s="417"/>
    </row>
    <row r="27" spans="1:13" x14ac:dyDescent="0.2">
      <c r="A27" s="433" t="s">
        <v>455</v>
      </c>
      <c r="B27" s="434" t="s">
        <v>13</v>
      </c>
      <c r="C27" s="434" t="s">
        <v>463</v>
      </c>
      <c r="D27" s="434" t="s">
        <v>457</v>
      </c>
      <c r="E27" s="434" t="s">
        <v>513</v>
      </c>
      <c r="F27" s="434" t="s">
        <v>23</v>
      </c>
      <c r="G27" s="435">
        <f>1687.02+71</f>
        <v>1758.02</v>
      </c>
      <c r="H27" s="435">
        <f>1510+40</f>
        <v>1550</v>
      </c>
      <c r="I27" s="435">
        <f>1510+40</f>
        <v>1550</v>
      </c>
      <c r="J27" s="417"/>
      <c r="K27" s="417"/>
      <c r="L27" s="417"/>
      <c r="M27" s="417"/>
    </row>
    <row r="28" spans="1:13" x14ac:dyDescent="0.2">
      <c r="A28" s="433" t="s">
        <v>467</v>
      </c>
      <c r="B28" s="434" t="s">
        <v>13</v>
      </c>
      <c r="C28" s="434" t="s">
        <v>463</v>
      </c>
      <c r="D28" s="434" t="s">
        <v>457</v>
      </c>
      <c r="E28" s="434" t="s">
        <v>513</v>
      </c>
      <c r="F28" s="434" t="s">
        <v>350</v>
      </c>
      <c r="G28" s="435">
        <v>580</v>
      </c>
      <c r="H28" s="435">
        <v>450</v>
      </c>
      <c r="I28" s="435">
        <v>450</v>
      </c>
      <c r="J28" s="417"/>
      <c r="K28" s="417"/>
      <c r="L28" s="417"/>
      <c r="M28" s="417"/>
    </row>
    <row r="29" spans="1:13" x14ac:dyDescent="0.2">
      <c r="A29" s="436" t="s">
        <v>86</v>
      </c>
      <c r="B29" s="437" t="s">
        <v>13</v>
      </c>
      <c r="C29" s="437" t="s">
        <v>463</v>
      </c>
      <c r="D29" s="437" t="s">
        <v>457</v>
      </c>
      <c r="E29" s="437" t="s">
        <v>513</v>
      </c>
      <c r="F29" s="437" t="s">
        <v>87</v>
      </c>
      <c r="G29" s="438">
        <f>50-25</f>
        <v>25</v>
      </c>
      <c r="H29" s="438">
        <v>50</v>
      </c>
      <c r="I29" s="438">
        <v>50</v>
      </c>
      <c r="J29" s="417"/>
      <c r="K29" s="417"/>
      <c r="L29" s="417"/>
      <c r="M29" s="417"/>
    </row>
    <row r="30" spans="1:13" x14ac:dyDescent="0.2">
      <c r="A30" s="433" t="s">
        <v>469</v>
      </c>
      <c r="B30" s="434" t="s">
        <v>13</v>
      </c>
      <c r="C30" s="434" t="s">
        <v>463</v>
      </c>
      <c r="D30" s="434" t="s">
        <v>457</v>
      </c>
      <c r="E30" s="434" t="s">
        <v>513</v>
      </c>
      <c r="F30" s="434" t="s">
        <v>68</v>
      </c>
      <c r="G30" s="435">
        <v>0</v>
      </c>
      <c r="H30" s="435">
        <v>50</v>
      </c>
      <c r="I30" s="435">
        <v>50</v>
      </c>
      <c r="J30" s="417"/>
      <c r="K30" s="417"/>
      <c r="L30" s="417"/>
      <c r="M30" s="417"/>
    </row>
    <row r="31" spans="1:13" x14ac:dyDescent="0.2">
      <c r="A31" s="433" t="s">
        <v>66</v>
      </c>
      <c r="B31" s="434" t="s">
        <v>13</v>
      </c>
      <c r="C31" s="434" t="s">
        <v>463</v>
      </c>
      <c r="D31" s="434" t="s">
        <v>457</v>
      </c>
      <c r="E31" s="434" t="s">
        <v>513</v>
      </c>
      <c r="F31" s="434" t="s">
        <v>69</v>
      </c>
      <c r="G31" s="435">
        <v>50</v>
      </c>
      <c r="H31" s="435">
        <v>50</v>
      </c>
      <c r="I31" s="435">
        <v>50</v>
      </c>
      <c r="J31" s="417"/>
      <c r="K31" s="417"/>
      <c r="L31" s="417"/>
      <c r="M31" s="417"/>
    </row>
    <row r="32" spans="1:13" x14ac:dyDescent="0.2">
      <c r="A32" s="433" t="s">
        <v>455</v>
      </c>
      <c r="B32" s="434" t="s">
        <v>13</v>
      </c>
      <c r="C32" s="434" t="s">
        <v>463</v>
      </c>
      <c r="D32" s="434" t="s">
        <v>457</v>
      </c>
      <c r="E32" s="434" t="s">
        <v>512</v>
      </c>
      <c r="F32" s="434" t="s">
        <v>23</v>
      </c>
      <c r="G32" s="435">
        <v>70</v>
      </c>
      <c r="H32" s="435">
        <v>50</v>
      </c>
      <c r="I32" s="435">
        <v>50</v>
      </c>
      <c r="J32" s="417"/>
      <c r="K32" s="417"/>
      <c r="L32" s="417"/>
      <c r="M32" s="417"/>
    </row>
    <row r="33" spans="1:13" ht="25.5" x14ac:dyDescent="0.2">
      <c r="A33" s="433" t="s">
        <v>498</v>
      </c>
      <c r="B33" s="434" t="s">
        <v>13</v>
      </c>
      <c r="C33" s="434" t="s">
        <v>463</v>
      </c>
      <c r="D33" s="434" t="s">
        <v>457</v>
      </c>
      <c r="E33" s="434" t="s">
        <v>511</v>
      </c>
      <c r="F33" s="434" t="s">
        <v>22</v>
      </c>
      <c r="G33" s="435">
        <v>20</v>
      </c>
      <c r="H33" s="435">
        <v>0</v>
      </c>
      <c r="I33" s="435">
        <v>0</v>
      </c>
      <c r="J33" s="417"/>
      <c r="K33" s="417"/>
      <c r="L33" s="417"/>
      <c r="M33" s="417"/>
    </row>
    <row r="34" spans="1:13" ht="51" x14ac:dyDescent="0.2">
      <c r="A34" s="433" t="s">
        <v>497</v>
      </c>
      <c r="B34" s="434" t="s">
        <v>13</v>
      </c>
      <c r="C34" s="434" t="s">
        <v>463</v>
      </c>
      <c r="D34" s="434" t="s">
        <v>457</v>
      </c>
      <c r="E34" s="434" t="s">
        <v>511</v>
      </c>
      <c r="F34" s="434" t="s">
        <v>62</v>
      </c>
      <c r="G34" s="435">
        <v>6.04</v>
      </c>
      <c r="H34" s="435">
        <v>0</v>
      </c>
      <c r="I34" s="435">
        <v>0</v>
      </c>
      <c r="J34" s="417"/>
      <c r="K34" s="417"/>
      <c r="L34" s="417"/>
      <c r="M34" s="417"/>
    </row>
    <row r="35" spans="1:13" x14ac:dyDescent="0.2">
      <c r="A35" s="433" t="s">
        <v>455</v>
      </c>
      <c r="B35" s="434" t="s">
        <v>13</v>
      </c>
      <c r="C35" s="434" t="s">
        <v>463</v>
      </c>
      <c r="D35" s="434" t="s">
        <v>457</v>
      </c>
      <c r="E35" s="434" t="s">
        <v>510</v>
      </c>
      <c r="F35" s="434" t="s">
        <v>23</v>
      </c>
      <c r="G35" s="435">
        <v>3.52</v>
      </c>
      <c r="H35" s="435">
        <v>3.52</v>
      </c>
      <c r="I35" s="435">
        <v>3.52</v>
      </c>
      <c r="J35" s="417"/>
      <c r="K35" s="417"/>
      <c r="L35" s="417"/>
      <c r="M35" s="417"/>
    </row>
    <row r="36" spans="1:13" x14ac:dyDescent="0.2">
      <c r="A36" s="433" t="s">
        <v>455</v>
      </c>
      <c r="B36" s="434" t="s">
        <v>13</v>
      </c>
      <c r="C36" s="434" t="s">
        <v>463</v>
      </c>
      <c r="D36" s="434" t="s">
        <v>457</v>
      </c>
      <c r="E36" s="434" t="s">
        <v>509</v>
      </c>
      <c r="F36" s="434" t="s">
        <v>23</v>
      </c>
      <c r="G36" s="435">
        <v>100</v>
      </c>
      <c r="H36" s="435">
        <v>100</v>
      </c>
      <c r="I36" s="435">
        <v>100</v>
      </c>
      <c r="J36" s="417"/>
      <c r="K36" s="417"/>
      <c r="L36" s="417"/>
      <c r="M36" s="417"/>
    </row>
    <row r="37" spans="1:13" ht="51" x14ac:dyDescent="0.2">
      <c r="A37" s="430" t="s">
        <v>508</v>
      </c>
      <c r="B37" s="431" t="s">
        <v>13</v>
      </c>
      <c r="C37" s="431" t="s">
        <v>463</v>
      </c>
      <c r="D37" s="431" t="s">
        <v>505</v>
      </c>
      <c r="E37" s="431"/>
      <c r="F37" s="431"/>
      <c r="G37" s="432">
        <f>SUM(G38:G40)</f>
        <v>222.63</v>
      </c>
      <c r="H37" s="432">
        <f>SUM(H38:H40)</f>
        <v>0</v>
      </c>
      <c r="I37" s="432">
        <f>SUM(I38:I40)</f>
        <v>0</v>
      </c>
      <c r="J37" s="417"/>
      <c r="K37" s="417"/>
      <c r="L37" s="417"/>
      <c r="M37" s="417"/>
    </row>
    <row r="38" spans="1:13" x14ac:dyDescent="0.2">
      <c r="A38" s="436" t="s">
        <v>102</v>
      </c>
      <c r="B38" s="437" t="s">
        <v>13</v>
      </c>
      <c r="C38" s="437" t="s">
        <v>463</v>
      </c>
      <c r="D38" s="437" t="s">
        <v>505</v>
      </c>
      <c r="E38" s="437" t="s">
        <v>507</v>
      </c>
      <c r="F38" s="437" t="s">
        <v>105</v>
      </c>
      <c r="G38" s="438">
        <v>128</v>
      </c>
      <c r="H38" s="438">
        <v>0</v>
      </c>
      <c r="I38" s="438">
        <v>0</v>
      </c>
      <c r="J38" s="417"/>
      <c r="K38" s="417"/>
      <c r="L38" s="417"/>
      <c r="M38" s="417"/>
    </row>
    <row r="39" spans="1:13" x14ac:dyDescent="0.2">
      <c r="A39" s="436" t="s">
        <v>102</v>
      </c>
      <c r="B39" s="437" t="s">
        <v>13</v>
      </c>
      <c r="C39" s="437" t="s">
        <v>463</v>
      </c>
      <c r="D39" s="437" t="s">
        <v>505</v>
      </c>
      <c r="E39" s="437" t="s">
        <v>506</v>
      </c>
      <c r="F39" s="437" t="s">
        <v>105</v>
      </c>
      <c r="G39" s="438">
        <v>35.53</v>
      </c>
      <c r="H39" s="438">
        <v>0</v>
      </c>
      <c r="I39" s="438">
        <v>0</v>
      </c>
      <c r="J39" s="417"/>
      <c r="K39" s="417"/>
      <c r="L39" s="417"/>
      <c r="M39" s="417"/>
    </row>
    <row r="40" spans="1:13" x14ac:dyDescent="0.2">
      <c r="A40" s="436" t="s">
        <v>102</v>
      </c>
      <c r="B40" s="437" t="s">
        <v>13</v>
      </c>
      <c r="C40" s="437" t="s">
        <v>463</v>
      </c>
      <c r="D40" s="437" t="s">
        <v>505</v>
      </c>
      <c r="E40" s="437" t="s">
        <v>504</v>
      </c>
      <c r="F40" s="437" t="s">
        <v>105</v>
      </c>
      <c r="G40" s="438">
        <v>59.1</v>
      </c>
      <c r="H40" s="438">
        <v>0</v>
      </c>
      <c r="I40" s="438">
        <v>0</v>
      </c>
      <c r="J40" s="417"/>
      <c r="K40" s="417"/>
      <c r="L40" s="417"/>
      <c r="M40" s="417"/>
    </row>
    <row r="41" spans="1:13" x14ac:dyDescent="0.2">
      <c r="A41" s="430" t="s">
        <v>27</v>
      </c>
      <c r="B41" s="431" t="s">
        <v>13</v>
      </c>
      <c r="C41" s="431" t="s">
        <v>463</v>
      </c>
      <c r="D41" s="431" t="s">
        <v>454</v>
      </c>
      <c r="E41" s="431"/>
      <c r="F41" s="431"/>
      <c r="G41" s="432">
        <f>SUM(G42)</f>
        <v>0</v>
      </c>
      <c r="H41" s="432">
        <f>SUM(H42)</f>
        <v>1000</v>
      </c>
      <c r="I41" s="432">
        <f>SUM(I42)</f>
        <v>1000</v>
      </c>
      <c r="J41" s="417"/>
      <c r="K41" s="417"/>
      <c r="L41" s="417"/>
      <c r="M41" s="417"/>
    </row>
    <row r="42" spans="1:13" x14ac:dyDescent="0.2">
      <c r="A42" s="436" t="s">
        <v>29</v>
      </c>
      <c r="B42" s="437" t="s">
        <v>13</v>
      </c>
      <c r="C42" s="437" t="s">
        <v>463</v>
      </c>
      <c r="D42" s="437" t="s">
        <v>454</v>
      </c>
      <c r="E42" s="437" t="s">
        <v>503</v>
      </c>
      <c r="F42" s="437" t="s">
        <v>28</v>
      </c>
      <c r="G42" s="438">
        <v>0</v>
      </c>
      <c r="H42" s="438">
        <v>1000</v>
      </c>
      <c r="I42" s="438">
        <v>1000</v>
      </c>
      <c r="J42" s="417"/>
      <c r="K42" s="417"/>
      <c r="L42" s="417"/>
      <c r="M42" s="417"/>
    </row>
    <row r="43" spans="1:13" x14ac:dyDescent="0.2">
      <c r="A43" s="430" t="s">
        <v>31</v>
      </c>
      <c r="B43" s="431" t="s">
        <v>13</v>
      </c>
      <c r="C43" s="431" t="s">
        <v>463</v>
      </c>
      <c r="D43" s="431" t="s">
        <v>500</v>
      </c>
      <c r="E43" s="431"/>
      <c r="F43" s="431"/>
      <c r="G43" s="432">
        <f>SUM(G44:G46)</f>
        <v>8325.01</v>
      </c>
      <c r="H43" s="432">
        <f>SUM(H44:H46)</f>
        <v>400</v>
      </c>
      <c r="I43" s="432">
        <f>SUM(I44:I46)</f>
        <v>400</v>
      </c>
      <c r="J43" s="417"/>
      <c r="K43" s="417"/>
      <c r="L43" s="417"/>
      <c r="M43" s="417"/>
    </row>
    <row r="44" spans="1:13" ht="38.25" x14ac:dyDescent="0.2">
      <c r="A44" s="433" t="s">
        <v>502</v>
      </c>
      <c r="B44" s="434" t="s">
        <v>13</v>
      </c>
      <c r="C44" s="434" t="s">
        <v>463</v>
      </c>
      <c r="D44" s="434" t="s">
        <v>500</v>
      </c>
      <c r="E44" s="434" t="s">
        <v>501</v>
      </c>
      <c r="F44" s="434" t="s">
        <v>421</v>
      </c>
      <c r="G44" s="435">
        <v>7965.01</v>
      </c>
      <c r="H44" s="435">
        <v>0</v>
      </c>
      <c r="I44" s="435">
        <v>0</v>
      </c>
      <c r="J44" s="417"/>
      <c r="K44" s="417"/>
      <c r="L44" s="417"/>
      <c r="M44" s="417"/>
    </row>
    <row r="45" spans="1:13" ht="38.25" x14ac:dyDescent="0.2">
      <c r="A45" s="433" t="s">
        <v>502</v>
      </c>
      <c r="B45" s="434" t="s">
        <v>13</v>
      </c>
      <c r="C45" s="434" t="s">
        <v>463</v>
      </c>
      <c r="D45" s="434" t="s">
        <v>500</v>
      </c>
      <c r="E45" s="434" t="s">
        <v>501</v>
      </c>
      <c r="F45" s="434" t="s">
        <v>69</v>
      </c>
      <c r="G45" s="435">
        <v>10</v>
      </c>
      <c r="H45" s="435">
        <v>0</v>
      </c>
      <c r="I45" s="435">
        <v>0</v>
      </c>
      <c r="J45" s="417"/>
      <c r="K45" s="417"/>
      <c r="L45" s="417"/>
      <c r="M45" s="417"/>
    </row>
    <row r="46" spans="1:13" x14ac:dyDescent="0.2">
      <c r="A46" s="433" t="s">
        <v>455</v>
      </c>
      <c r="B46" s="434" t="s">
        <v>13</v>
      </c>
      <c r="C46" s="434" t="s">
        <v>463</v>
      </c>
      <c r="D46" s="434" t="s">
        <v>500</v>
      </c>
      <c r="E46" s="434" t="s">
        <v>499</v>
      </c>
      <c r="F46" s="434" t="s">
        <v>23</v>
      </c>
      <c r="G46" s="435">
        <v>350</v>
      </c>
      <c r="H46" s="435">
        <v>400</v>
      </c>
      <c r="I46" s="435">
        <v>400</v>
      </c>
      <c r="J46" s="417"/>
      <c r="K46" s="417"/>
      <c r="L46" s="417"/>
      <c r="M46" s="417"/>
    </row>
    <row r="47" spans="1:13" x14ac:dyDescent="0.2">
      <c r="A47" s="439" t="s">
        <v>71</v>
      </c>
      <c r="B47" s="440" t="s">
        <v>13</v>
      </c>
      <c r="C47" s="440" t="s">
        <v>453</v>
      </c>
      <c r="D47" s="440" t="s">
        <v>456</v>
      </c>
      <c r="E47" s="440"/>
      <c r="F47" s="440"/>
      <c r="G47" s="441">
        <f>G48</f>
        <v>297.39999999999998</v>
      </c>
      <c r="H47" s="441">
        <f>H48</f>
        <v>297.39999999999998</v>
      </c>
      <c r="I47" s="441">
        <f>I48</f>
        <v>297.39999999999998</v>
      </c>
      <c r="J47" s="417"/>
      <c r="K47" s="417"/>
      <c r="L47" s="417"/>
      <c r="M47" s="417"/>
    </row>
    <row r="48" spans="1:13" ht="25.5" x14ac:dyDescent="0.2">
      <c r="A48" s="439" t="s">
        <v>235</v>
      </c>
      <c r="B48" s="440" t="s">
        <v>13</v>
      </c>
      <c r="C48" s="440" t="s">
        <v>453</v>
      </c>
      <c r="D48" s="440" t="s">
        <v>473</v>
      </c>
      <c r="E48" s="440"/>
      <c r="F48" s="440"/>
      <c r="G48" s="441">
        <f>SUM(G49:G50)</f>
        <v>297.39999999999998</v>
      </c>
      <c r="H48" s="441">
        <f>SUM(H49:H50)</f>
        <v>297.39999999999998</v>
      </c>
      <c r="I48" s="441">
        <f>SUM(I49:I50)</f>
        <v>297.39999999999998</v>
      </c>
      <c r="J48" s="417"/>
      <c r="K48" s="417"/>
      <c r="L48" s="417"/>
      <c r="M48" s="417"/>
    </row>
    <row r="49" spans="1:13" ht="25.5" x14ac:dyDescent="0.2">
      <c r="A49" s="433" t="s">
        <v>498</v>
      </c>
      <c r="B49" s="434" t="s">
        <v>13</v>
      </c>
      <c r="C49" s="434" t="s">
        <v>453</v>
      </c>
      <c r="D49" s="434" t="s">
        <v>473</v>
      </c>
      <c r="E49" s="434" t="s">
        <v>496</v>
      </c>
      <c r="F49" s="434" t="s">
        <v>22</v>
      </c>
      <c r="G49" s="435">
        <v>228.42</v>
      </c>
      <c r="H49" s="435">
        <v>228.41782000000001</v>
      </c>
      <c r="I49" s="435">
        <v>228.41782000000001</v>
      </c>
      <c r="J49" s="417"/>
      <c r="K49" s="417"/>
      <c r="L49" s="417"/>
      <c r="M49" s="417"/>
    </row>
    <row r="50" spans="1:13" ht="51" x14ac:dyDescent="0.2">
      <c r="A50" s="433" t="s">
        <v>497</v>
      </c>
      <c r="B50" s="434" t="s">
        <v>13</v>
      </c>
      <c r="C50" s="434" t="s">
        <v>453</v>
      </c>
      <c r="D50" s="434" t="s">
        <v>473</v>
      </c>
      <c r="E50" s="434" t="s">
        <v>496</v>
      </c>
      <c r="F50" s="434" t="s">
        <v>62</v>
      </c>
      <c r="G50" s="435">
        <v>68.98</v>
      </c>
      <c r="H50" s="435">
        <v>68.98218</v>
      </c>
      <c r="I50" s="435">
        <v>68.98218</v>
      </c>
      <c r="J50" s="417"/>
      <c r="K50" s="417"/>
      <c r="L50" s="417"/>
      <c r="M50" s="417"/>
    </row>
    <row r="51" spans="1:13" ht="38.25" x14ac:dyDescent="0.2">
      <c r="A51" s="430" t="s">
        <v>236</v>
      </c>
      <c r="B51" s="431" t="s">
        <v>13</v>
      </c>
      <c r="C51" s="431" t="s">
        <v>473</v>
      </c>
      <c r="D51" s="431" t="s">
        <v>456</v>
      </c>
      <c r="E51" s="431"/>
      <c r="F51" s="431"/>
      <c r="G51" s="432">
        <f>G52+G54+G56</f>
        <v>8.6</v>
      </c>
      <c r="H51" s="432">
        <f>H52+H54+H56</f>
        <v>270</v>
      </c>
      <c r="I51" s="432">
        <f>I52+I54+I56</f>
        <v>270</v>
      </c>
      <c r="J51" s="417"/>
      <c r="K51" s="417"/>
      <c r="L51" s="417"/>
      <c r="M51" s="417"/>
    </row>
    <row r="52" spans="1:13" x14ac:dyDescent="0.2">
      <c r="A52" s="430" t="s">
        <v>495</v>
      </c>
      <c r="B52" s="431" t="s">
        <v>13</v>
      </c>
      <c r="C52" s="431" t="s">
        <v>473</v>
      </c>
      <c r="D52" s="431" t="s">
        <v>489</v>
      </c>
      <c r="E52" s="431"/>
      <c r="F52" s="431"/>
      <c r="G52" s="432">
        <f>SUM(G53)</f>
        <v>0</v>
      </c>
      <c r="H52" s="432">
        <f>SUM(H53)</f>
        <v>60</v>
      </c>
      <c r="I52" s="432">
        <f>SUM(I53)</f>
        <v>60</v>
      </c>
      <c r="J52" s="417"/>
      <c r="K52" s="417"/>
      <c r="L52" s="417"/>
      <c r="M52" s="417"/>
    </row>
    <row r="53" spans="1:13" x14ac:dyDescent="0.2">
      <c r="A53" s="433" t="s">
        <v>455</v>
      </c>
      <c r="B53" s="434" t="s">
        <v>13</v>
      </c>
      <c r="C53" s="434" t="s">
        <v>473</v>
      </c>
      <c r="D53" s="434" t="s">
        <v>489</v>
      </c>
      <c r="E53" s="434" t="s">
        <v>124</v>
      </c>
      <c r="F53" s="434" t="s">
        <v>23</v>
      </c>
      <c r="G53" s="435">
        <v>0</v>
      </c>
      <c r="H53" s="435">
        <v>60</v>
      </c>
      <c r="I53" s="435">
        <v>60</v>
      </c>
      <c r="J53" s="417"/>
      <c r="K53" s="417"/>
      <c r="L53" s="417"/>
      <c r="M53" s="417"/>
    </row>
    <row r="54" spans="1:13" ht="51" x14ac:dyDescent="0.2">
      <c r="A54" s="430" t="s">
        <v>494</v>
      </c>
      <c r="B54" s="431" t="s">
        <v>13</v>
      </c>
      <c r="C54" s="431" t="s">
        <v>473</v>
      </c>
      <c r="D54" s="431" t="s">
        <v>458</v>
      </c>
      <c r="E54" s="431"/>
      <c r="F54" s="431"/>
      <c r="G54" s="432">
        <f>SUM(G55)</f>
        <v>0</v>
      </c>
      <c r="H54" s="432">
        <f>SUM(H55)</f>
        <v>0</v>
      </c>
      <c r="I54" s="432">
        <f>SUM(I55)</f>
        <v>0</v>
      </c>
      <c r="J54" s="417"/>
      <c r="K54" s="417"/>
      <c r="L54" s="417"/>
      <c r="M54" s="417"/>
    </row>
    <row r="55" spans="1:13" x14ac:dyDescent="0.2">
      <c r="A55" s="433" t="s">
        <v>455</v>
      </c>
      <c r="B55" s="434" t="s">
        <v>13</v>
      </c>
      <c r="C55" s="434" t="s">
        <v>473</v>
      </c>
      <c r="D55" s="434" t="s">
        <v>458</v>
      </c>
      <c r="E55" s="434" t="s">
        <v>124</v>
      </c>
      <c r="F55" s="434" t="s">
        <v>23</v>
      </c>
      <c r="G55" s="435">
        <v>0</v>
      </c>
      <c r="H55" s="435">
        <v>0</v>
      </c>
      <c r="I55" s="435">
        <v>0</v>
      </c>
      <c r="J55" s="417"/>
      <c r="K55" s="417"/>
      <c r="L55" s="417"/>
      <c r="M55" s="417"/>
    </row>
    <row r="56" spans="1:13" ht="38.25" x14ac:dyDescent="0.2">
      <c r="A56" s="430" t="s">
        <v>493</v>
      </c>
      <c r="B56" s="431" t="s">
        <v>13</v>
      </c>
      <c r="C56" s="431" t="s">
        <v>473</v>
      </c>
      <c r="D56" s="431" t="s">
        <v>492</v>
      </c>
      <c r="E56" s="431"/>
      <c r="F56" s="431"/>
      <c r="G56" s="432">
        <f>SUM(G57:G58)</f>
        <v>8.6</v>
      </c>
      <c r="H56" s="432">
        <f>SUM(H57:H58)</f>
        <v>210</v>
      </c>
      <c r="I56" s="432">
        <f>SUM(I57:I58)</f>
        <v>210</v>
      </c>
      <c r="J56" s="417"/>
      <c r="K56" s="417"/>
      <c r="L56" s="417"/>
      <c r="M56" s="417"/>
    </row>
    <row r="57" spans="1:13" x14ac:dyDescent="0.2">
      <c r="A57" s="433" t="s">
        <v>455</v>
      </c>
      <c r="B57" s="434" t="s">
        <v>13</v>
      </c>
      <c r="C57" s="434" t="s">
        <v>473</v>
      </c>
      <c r="D57" s="434" t="s">
        <v>492</v>
      </c>
      <c r="E57" s="434" t="s">
        <v>125</v>
      </c>
      <c r="F57" s="434" t="s">
        <v>23</v>
      </c>
      <c r="G57" s="435">
        <v>8.6</v>
      </c>
      <c r="H57" s="435">
        <v>200</v>
      </c>
      <c r="I57" s="435">
        <v>200</v>
      </c>
      <c r="J57" s="417"/>
      <c r="K57" s="417"/>
      <c r="L57" s="417"/>
      <c r="M57" s="417"/>
    </row>
    <row r="58" spans="1:13" x14ac:dyDescent="0.2">
      <c r="A58" s="433" t="s">
        <v>455</v>
      </c>
      <c r="B58" s="434" t="s">
        <v>13</v>
      </c>
      <c r="C58" s="434" t="s">
        <v>473</v>
      </c>
      <c r="D58" s="434" t="s">
        <v>492</v>
      </c>
      <c r="E58" s="434" t="s">
        <v>126</v>
      </c>
      <c r="F58" s="434" t="s">
        <v>23</v>
      </c>
      <c r="G58" s="435">
        <v>0</v>
      </c>
      <c r="H58" s="435">
        <v>10</v>
      </c>
      <c r="I58" s="435">
        <v>10</v>
      </c>
      <c r="J58" s="417"/>
      <c r="K58" s="417"/>
      <c r="L58" s="417"/>
      <c r="M58" s="417"/>
    </row>
    <row r="59" spans="1:13" x14ac:dyDescent="0.2">
      <c r="A59" s="439" t="s">
        <v>238</v>
      </c>
      <c r="B59" s="440" t="s">
        <v>13</v>
      </c>
      <c r="C59" s="440" t="s">
        <v>457</v>
      </c>
      <c r="D59" s="440" t="s">
        <v>456</v>
      </c>
      <c r="E59" s="440"/>
      <c r="F59" s="440"/>
      <c r="G59" s="441">
        <f>G60+G66</f>
        <v>22414.84</v>
      </c>
      <c r="H59" s="441">
        <f>H60+H66</f>
        <v>10345.647649999999</v>
      </c>
      <c r="I59" s="441">
        <f>I60+I66</f>
        <v>5833.46</v>
      </c>
      <c r="J59" s="417"/>
      <c r="K59" s="417"/>
      <c r="L59" s="417"/>
      <c r="M59" s="417"/>
    </row>
    <row r="60" spans="1:13" x14ac:dyDescent="0.2">
      <c r="A60" s="439" t="s">
        <v>240</v>
      </c>
      <c r="B60" s="440" t="s">
        <v>13</v>
      </c>
      <c r="C60" s="440" t="s">
        <v>457</v>
      </c>
      <c r="D60" s="440" t="s">
        <v>489</v>
      </c>
      <c r="E60" s="440"/>
      <c r="F60" s="440"/>
      <c r="G60" s="441">
        <f>SUM(G61:G65)</f>
        <v>21302.93</v>
      </c>
      <c r="H60" s="441">
        <f>SUM(H61:H65)</f>
        <v>10040.647649999999</v>
      </c>
      <c r="I60" s="441">
        <f>SUM(I61:I65)</f>
        <v>5528.46</v>
      </c>
      <c r="J60" s="417"/>
      <c r="K60" s="417"/>
      <c r="L60" s="417"/>
      <c r="M60" s="417"/>
    </row>
    <row r="61" spans="1:13" x14ac:dyDescent="0.2">
      <c r="A61" s="433" t="s">
        <v>455</v>
      </c>
      <c r="B61" s="434" t="s">
        <v>13</v>
      </c>
      <c r="C61" s="434" t="s">
        <v>457</v>
      </c>
      <c r="D61" s="434" t="s">
        <v>489</v>
      </c>
      <c r="E61" s="434" t="s">
        <v>131</v>
      </c>
      <c r="F61" s="434" t="s">
        <v>23</v>
      </c>
      <c r="G61" s="435">
        <f>5271.25+400</f>
        <v>5671.25</v>
      </c>
      <c r="H61" s="435">
        <v>5091.2132499999998</v>
      </c>
      <c r="I61" s="435">
        <v>5418.46</v>
      </c>
      <c r="J61" s="417"/>
      <c r="K61" s="417"/>
      <c r="L61" s="417"/>
      <c r="M61" s="417"/>
    </row>
    <row r="62" spans="1:13" x14ac:dyDescent="0.2">
      <c r="A62" s="433" t="s">
        <v>455</v>
      </c>
      <c r="B62" s="434" t="s">
        <v>13</v>
      </c>
      <c r="C62" s="434" t="s">
        <v>457</v>
      </c>
      <c r="D62" s="434" t="s">
        <v>489</v>
      </c>
      <c r="E62" s="434" t="s">
        <v>132</v>
      </c>
      <c r="F62" s="434" t="s">
        <v>23</v>
      </c>
      <c r="G62" s="435">
        <v>2686.3</v>
      </c>
      <c r="H62" s="435">
        <v>1911.6</v>
      </c>
      <c r="I62" s="435">
        <v>0</v>
      </c>
      <c r="J62" s="417"/>
      <c r="K62" s="417"/>
      <c r="L62" s="417"/>
      <c r="M62" s="417"/>
    </row>
    <row r="63" spans="1:13" x14ac:dyDescent="0.2">
      <c r="A63" s="433" t="s">
        <v>455</v>
      </c>
      <c r="B63" s="434" t="s">
        <v>13</v>
      </c>
      <c r="C63" s="434" t="s">
        <v>457</v>
      </c>
      <c r="D63" s="434" t="s">
        <v>489</v>
      </c>
      <c r="E63" s="434" t="s">
        <v>491</v>
      </c>
      <c r="F63" s="434" t="s">
        <v>23</v>
      </c>
      <c r="G63" s="435">
        <v>11960.49</v>
      </c>
      <c r="H63" s="435">
        <v>2927.8343999999997</v>
      </c>
      <c r="I63" s="435">
        <v>0</v>
      </c>
      <c r="J63" s="417"/>
      <c r="K63" s="417"/>
      <c r="L63" s="417"/>
      <c r="M63" s="417"/>
    </row>
    <row r="64" spans="1:13" x14ac:dyDescent="0.2">
      <c r="A64" s="433" t="s">
        <v>455</v>
      </c>
      <c r="B64" s="434" t="s">
        <v>13</v>
      </c>
      <c r="C64" s="434" t="s">
        <v>457</v>
      </c>
      <c r="D64" s="434" t="s">
        <v>489</v>
      </c>
      <c r="E64" s="434" t="s">
        <v>490</v>
      </c>
      <c r="F64" s="434" t="s">
        <v>23</v>
      </c>
      <c r="G64" s="435">
        <v>974.89</v>
      </c>
      <c r="H64" s="435">
        <v>100</v>
      </c>
      <c r="I64" s="435">
        <v>100</v>
      </c>
      <c r="J64" s="417"/>
      <c r="K64" s="417"/>
      <c r="L64" s="417"/>
      <c r="M64" s="417"/>
    </row>
    <row r="65" spans="1:13" x14ac:dyDescent="0.2">
      <c r="A65" s="433" t="s">
        <v>455</v>
      </c>
      <c r="B65" s="434" t="s">
        <v>13</v>
      </c>
      <c r="C65" s="434" t="s">
        <v>457</v>
      </c>
      <c r="D65" s="434" t="s">
        <v>489</v>
      </c>
      <c r="E65" s="434" t="s">
        <v>133</v>
      </c>
      <c r="F65" s="434" t="s">
        <v>23</v>
      </c>
      <c r="G65" s="435">
        <v>10</v>
      </c>
      <c r="H65" s="435">
        <v>10</v>
      </c>
      <c r="I65" s="435">
        <v>10</v>
      </c>
      <c r="J65" s="417"/>
      <c r="K65" s="417"/>
      <c r="L65" s="417"/>
      <c r="M65" s="417"/>
    </row>
    <row r="66" spans="1:13" ht="25.5" x14ac:dyDescent="0.2">
      <c r="A66" s="439" t="s">
        <v>241</v>
      </c>
      <c r="B66" s="440" t="s">
        <v>13</v>
      </c>
      <c r="C66" s="440" t="s">
        <v>457</v>
      </c>
      <c r="D66" s="440" t="s">
        <v>488</v>
      </c>
      <c r="E66" s="440"/>
      <c r="F66" s="440"/>
      <c r="G66" s="441">
        <f>SUM(G67:G69)</f>
        <v>1111.9099999999999</v>
      </c>
      <c r="H66" s="441">
        <f>SUM(H67:H69)</f>
        <v>305</v>
      </c>
      <c r="I66" s="441">
        <f>SUM(I67:I69)</f>
        <v>305</v>
      </c>
      <c r="J66" s="417"/>
      <c r="K66" s="417"/>
      <c r="L66" s="417"/>
      <c r="M66" s="417"/>
    </row>
    <row r="67" spans="1:13" x14ac:dyDescent="0.2">
      <c r="A67" s="433" t="s">
        <v>455</v>
      </c>
      <c r="B67" s="434" t="s">
        <v>13</v>
      </c>
      <c r="C67" s="434" t="s">
        <v>457</v>
      </c>
      <c r="D67" s="434" t="s">
        <v>488</v>
      </c>
      <c r="E67" s="434" t="s">
        <v>116</v>
      </c>
      <c r="F67" s="434" t="s">
        <v>23</v>
      </c>
      <c r="G67" s="435">
        <v>5</v>
      </c>
      <c r="H67" s="435">
        <v>5</v>
      </c>
      <c r="I67" s="435">
        <v>5</v>
      </c>
      <c r="J67" s="417"/>
      <c r="K67" s="417"/>
      <c r="L67" s="417"/>
      <c r="M67" s="417"/>
    </row>
    <row r="68" spans="1:13" x14ac:dyDescent="0.2">
      <c r="A68" s="433" t="s">
        <v>455</v>
      </c>
      <c r="B68" s="434" t="s">
        <v>13</v>
      </c>
      <c r="C68" s="434" t="s">
        <v>457</v>
      </c>
      <c r="D68" s="434" t="s">
        <v>488</v>
      </c>
      <c r="E68" s="434" t="s">
        <v>115</v>
      </c>
      <c r="F68" s="434" t="s">
        <v>23</v>
      </c>
      <c r="G68" s="435">
        <f>751.26+35</f>
        <v>786.26</v>
      </c>
      <c r="H68" s="435">
        <v>300</v>
      </c>
      <c r="I68" s="435">
        <v>300</v>
      </c>
      <c r="J68" s="417"/>
      <c r="K68" s="417"/>
      <c r="L68" s="417"/>
      <c r="M68" s="417"/>
    </row>
    <row r="69" spans="1:13" x14ac:dyDescent="0.2">
      <c r="A69" s="433" t="s">
        <v>455</v>
      </c>
      <c r="B69" s="434" t="s">
        <v>13</v>
      </c>
      <c r="C69" s="434" t="s">
        <v>457</v>
      </c>
      <c r="D69" s="434" t="s">
        <v>488</v>
      </c>
      <c r="E69" s="434" t="s">
        <v>408</v>
      </c>
      <c r="F69" s="434" t="s">
        <v>23</v>
      </c>
      <c r="G69" s="435">
        <v>320.64999999999998</v>
      </c>
      <c r="H69" s="435">
        <v>0</v>
      </c>
      <c r="I69" s="435">
        <v>0</v>
      </c>
      <c r="J69" s="417"/>
      <c r="K69" s="417"/>
      <c r="L69" s="417"/>
      <c r="M69" s="417"/>
    </row>
    <row r="70" spans="1:13" ht="25.5" x14ac:dyDescent="0.2">
      <c r="A70" s="430" t="s">
        <v>242</v>
      </c>
      <c r="B70" s="431" t="s">
        <v>13</v>
      </c>
      <c r="C70" s="431" t="s">
        <v>474</v>
      </c>
      <c r="D70" s="431" t="s">
        <v>456</v>
      </c>
      <c r="E70" s="431"/>
      <c r="F70" s="431"/>
      <c r="G70" s="432">
        <f>G71+G78+G81</f>
        <v>35428.639999999999</v>
      </c>
      <c r="H70" s="432">
        <f>H71+H78+H81</f>
        <v>14738.02</v>
      </c>
      <c r="I70" s="432">
        <f>I71+I78+I81</f>
        <v>17089.79636</v>
      </c>
      <c r="J70" s="417"/>
      <c r="K70" s="417"/>
      <c r="L70" s="417"/>
      <c r="M70" s="417"/>
    </row>
    <row r="71" spans="1:13" x14ac:dyDescent="0.2">
      <c r="A71" s="430" t="s">
        <v>243</v>
      </c>
      <c r="B71" s="431" t="s">
        <v>13</v>
      </c>
      <c r="C71" s="431" t="s">
        <v>474</v>
      </c>
      <c r="D71" s="431" t="s">
        <v>463</v>
      </c>
      <c r="E71" s="431"/>
      <c r="F71" s="431"/>
      <c r="G71" s="432">
        <f>SUM(G72:G77)</f>
        <v>10021.41</v>
      </c>
      <c r="H71" s="432">
        <f>SUM(H72:H77)</f>
        <v>1494.52</v>
      </c>
      <c r="I71" s="432">
        <f>SUM(I72:I77)</f>
        <v>4109.3614799999996</v>
      </c>
      <c r="J71" s="417"/>
      <c r="K71" s="417"/>
      <c r="L71" s="417"/>
      <c r="M71" s="417"/>
    </row>
    <row r="72" spans="1:13" x14ac:dyDescent="0.2">
      <c r="A72" s="436" t="s">
        <v>102</v>
      </c>
      <c r="B72" s="437" t="s">
        <v>13</v>
      </c>
      <c r="C72" s="437" t="s">
        <v>474</v>
      </c>
      <c r="D72" s="437" t="s">
        <v>463</v>
      </c>
      <c r="E72" s="437" t="s">
        <v>487</v>
      </c>
      <c r="F72" s="437" t="s">
        <v>105</v>
      </c>
      <c r="G72" s="438">
        <v>109.5</v>
      </c>
      <c r="H72" s="438">
        <v>0</v>
      </c>
      <c r="I72" s="438">
        <v>0</v>
      </c>
      <c r="J72" s="417"/>
      <c r="K72" s="417"/>
      <c r="L72" s="417"/>
      <c r="M72" s="417"/>
    </row>
    <row r="73" spans="1:13" x14ac:dyDescent="0.2">
      <c r="A73" s="436" t="s">
        <v>102</v>
      </c>
      <c r="B73" s="437" t="s">
        <v>13</v>
      </c>
      <c r="C73" s="437" t="s">
        <v>474</v>
      </c>
      <c r="D73" s="437" t="s">
        <v>463</v>
      </c>
      <c r="E73" s="437" t="s">
        <v>486</v>
      </c>
      <c r="F73" s="437" t="s">
        <v>105</v>
      </c>
      <c r="G73" s="438">
        <v>26.6</v>
      </c>
      <c r="H73" s="438">
        <v>0</v>
      </c>
      <c r="I73" s="438">
        <v>0</v>
      </c>
      <c r="J73" s="417"/>
      <c r="K73" s="417"/>
      <c r="L73" s="417"/>
      <c r="M73" s="417"/>
    </row>
    <row r="74" spans="1:13" x14ac:dyDescent="0.2">
      <c r="A74" s="433" t="s">
        <v>455</v>
      </c>
      <c r="B74" s="434" t="s">
        <v>13</v>
      </c>
      <c r="C74" s="434" t="s">
        <v>474</v>
      </c>
      <c r="D74" s="434" t="s">
        <v>463</v>
      </c>
      <c r="E74" s="434" t="s">
        <v>480</v>
      </c>
      <c r="F74" s="434" t="s">
        <v>23</v>
      </c>
      <c r="G74" s="435">
        <v>237.58</v>
      </c>
      <c r="H74" s="435">
        <v>0</v>
      </c>
      <c r="I74" s="435">
        <v>0</v>
      </c>
      <c r="J74" s="417"/>
      <c r="K74" s="417"/>
      <c r="L74" s="417"/>
      <c r="M74" s="417"/>
    </row>
    <row r="75" spans="1:13" x14ac:dyDescent="0.2">
      <c r="A75" s="433" t="s">
        <v>455</v>
      </c>
      <c r="B75" s="434" t="s">
        <v>13</v>
      </c>
      <c r="C75" s="434" t="s">
        <v>474</v>
      </c>
      <c r="D75" s="434" t="s">
        <v>463</v>
      </c>
      <c r="E75" s="434" t="s">
        <v>485</v>
      </c>
      <c r="F75" s="434" t="s">
        <v>23</v>
      </c>
      <c r="G75" s="435">
        <v>0</v>
      </c>
      <c r="H75" s="435">
        <v>352.52</v>
      </c>
      <c r="I75" s="435">
        <v>356.85</v>
      </c>
      <c r="J75" s="417"/>
      <c r="K75" s="417"/>
      <c r="L75" s="417"/>
      <c r="M75" s="417"/>
    </row>
    <row r="76" spans="1:13" x14ac:dyDescent="0.2">
      <c r="A76" s="433" t="s">
        <v>455</v>
      </c>
      <c r="B76" s="434" t="s">
        <v>13</v>
      </c>
      <c r="C76" s="434" t="s">
        <v>474</v>
      </c>
      <c r="D76" s="434" t="s">
        <v>463</v>
      </c>
      <c r="E76" s="434" t="s">
        <v>118</v>
      </c>
      <c r="F76" s="434" t="s">
        <v>23</v>
      </c>
      <c r="G76" s="435">
        <v>371</v>
      </c>
      <c r="H76" s="435">
        <v>1142</v>
      </c>
      <c r="I76" s="435">
        <v>1136</v>
      </c>
      <c r="J76" s="417"/>
      <c r="K76" s="417"/>
      <c r="L76" s="417"/>
      <c r="M76" s="417"/>
    </row>
    <row r="77" spans="1:13" ht="51" x14ac:dyDescent="0.2">
      <c r="A77" s="433" t="s">
        <v>484</v>
      </c>
      <c r="B77" s="434" t="s">
        <v>13</v>
      </c>
      <c r="C77" s="434" t="s">
        <v>474</v>
      </c>
      <c r="D77" s="434" t="s">
        <v>463</v>
      </c>
      <c r="E77" s="434" t="s">
        <v>483</v>
      </c>
      <c r="F77" s="434" t="s">
        <v>482</v>
      </c>
      <c r="G77" s="435">
        <v>9276.73</v>
      </c>
      <c r="H77" s="435">
        <v>0</v>
      </c>
      <c r="I77" s="435">
        <v>2616.5114800000001</v>
      </c>
      <c r="J77" s="417"/>
      <c r="K77" s="417"/>
      <c r="L77" s="417"/>
      <c r="M77" s="417"/>
    </row>
    <row r="78" spans="1:13" x14ac:dyDescent="0.2">
      <c r="A78" s="430" t="s">
        <v>244</v>
      </c>
      <c r="B78" s="431" t="s">
        <v>13</v>
      </c>
      <c r="C78" s="431" t="s">
        <v>474</v>
      </c>
      <c r="D78" s="431" t="s">
        <v>453</v>
      </c>
      <c r="E78" s="431"/>
      <c r="F78" s="431"/>
      <c r="G78" s="432">
        <f>SUM(G79:G80)</f>
        <v>148.91</v>
      </c>
      <c r="H78" s="432">
        <f>SUM(H79:H80)</f>
        <v>35</v>
      </c>
      <c r="I78" s="432">
        <f>SUM(I79:I80)</f>
        <v>35</v>
      </c>
      <c r="J78" s="417"/>
      <c r="K78" s="417"/>
      <c r="L78" s="417"/>
      <c r="M78" s="417"/>
    </row>
    <row r="79" spans="1:13" x14ac:dyDescent="0.2">
      <c r="A79" s="436" t="s">
        <v>102</v>
      </c>
      <c r="B79" s="437" t="s">
        <v>13</v>
      </c>
      <c r="C79" s="437" t="s">
        <v>474</v>
      </c>
      <c r="D79" s="437" t="s">
        <v>453</v>
      </c>
      <c r="E79" s="437" t="s">
        <v>481</v>
      </c>
      <c r="F79" s="437" t="s">
        <v>105</v>
      </c>
      <c r="G79" s="438">
        <v>113.91</v>
      </c>
      <c r="H79" s="438">
        <v>0</v>
      </c>
      <c r="I79" s="438">
        <v>0</v>
      </c>
      <c r="J79" s="417"/>
      <c r="K79" s="417"/>
      <c r="L79" s="417"/>
      <c r="M79" s="417"/>
    </row>
    <row r="80" spans="1:13" x14ac:dyDescent="0.2">
      <c r="A80" s="433" t="s">
        <v>467</v>
      </c>
      <c r="B80" s="434" t="s">
        <v>13</v>
      </c>
      <c r="C80" s="434" t="s">
        <v>474</v>
      </c>
      <c r="D80" s="434" t="s">
        <v>453</v>
      </c>
      <c r="E80" s="434" t="s">
        <v>480</v>
      </c>
      <c r="F80" s="434" t="s">
        <v>350</v>
      </c>
      <c r="G80" s="435">
        <v>35</v>
      </c>
      <c r="H80" s="435">
        <v>35</v>
      </c>
      <c r="I80" s="435">
        <v>35</v>
      </c>
      <c r="J80" s="417"/>
      <c r="K80" s="417"/>
      <c r="L80" s="417"/>
      <c r="M80" s="417"/>
    </row>
    <row r="81" spans="1:13" x14ac:dyDescent="0.2">
      <c r="A81" s="430" t="s">
        <v>245</v>
      </c>
      <c r="B81" s="431" t="s">
        <v>13</v>
      </c>
      <c r="C81" s="431" t="s">
        <v>474</v>
      </c>
      <c r="D81" s="431" t="s">
        <v>473</v>
      </c>
      <c r="E81" s="431"/>
      <c r="F81" s="431"/>
      <c r="G81" s="432">
        <f>SUM(G82:G94)</f>
        <v>25258.32</v>
      </c>
      <c r="H81" s="432">
        <f>SUM(H82:H94)</f>
        <v>13208.5</v>
      </c>
      <c r="I81" s="432">
        <f>SUM(I82:I94)</f>
        <v>12945.434880000001</v>
      </c>
      <c r="J81" s="417"/>
      <c r="K81" s="417"/>
      <c r="L81" s="417"/>
      <c r="M81" s="417"/>
    </row>
    <row r="82" spans="1:13" x14ac:dyDescent="0.2">
      <c r="A82" s="433" t="s">
        <v>455</v>
      </c>
      <c r="B82" s="434" t="s">
        <v>13</v>
      </c>
      <c r="C82" s="434" t="s">
        <v>474</v>
      </c>
      <c r="D82" s="434" t="s">
        <v>473</v>
      </c>
      <c r="E82" s="434" t="s">
        <v>119</v>
      </c>
      <c r="F82" s="434" t="s">
        <v>23</v>
      </c>
      <c r="G82" s="435">
        <f>4130+370</f>
        <v>4500</v>
      </c>
      <c r="H82" s="435">
        <v>2500</v>
      </c>
      <c r="I82" s="435">
        <v>2500</v>
      </c>
      <c r="J82" s="417"/>
      <c r="K82" s="417"/>
      <c r="L82" s="417"/>
      <c r="M82" s="417"/>
    </row>
    <row r="83" spans="1:13" x14ac:dyDescent="0.2">
      <c r="A83" s="433" t="s">
        <v>467</v>
      </c>
      <c r="B83" s="434" t="s">
        <v>13</v>
      </c>
      <c r="C83" s="434" t="s">
        <v>474</v>
      </c>
      <c r="D83" s="434" t="s">
        <v>473</v>
      </c>
      <c r="E83" s="434" t="s">
        <v>119</v>
      </c>
      <c r="F83" s="434" t="s">
        <v>350</v>
      </c>
      <c r="G83" s="435">
        <v>3500</v>
      </c>
      <c r="H83" s="435">
        <v>2500</v>
      </c>
      <c r="I83" s="435">
        <v>3500</v>
      </c>
      <c r="J83" s="417"/>
      <c r="K83" s="417"/>
      <c r="L83" s="417"/>
      <c r="M83" s="417"/>
    </row>
    <row r="84" spans="1:13" x14ac:dyDescent="0.2">
      <c r="A84" s="433" t="s">
        <v>66</v>
      </c>
      <c r="B84" s="434" t="s">
        <v>13</v>
      </c>
      <c r="C84" s="434" t="s">
        <v>474</v>
      </c>
      <c r="D84" s="434" t="s">
        <v>473</v>
      </c>
      <c r="E84" s="434" t="s">
        <v>119</v>
      </c>
      <c r="F84" s="434" t="s">
        <v>69</v>
      </c>
      <c r="G84" s="435">
        <v>20</v>
      </c>
      <c r="H84" s="435">
        <v>0</v>
      </c>
      <c r="I84" s="435">
        <v>0</v>
      </c>
      <c r="J84" s="417"/>
      <c r="K84" s="417"/>
      <c r="L84" s="417"/>
      <c r="M84" s="417"/>
    </row>
    <row r="85" spans="1:13" x14ac:dyDescent="0.2">
      <c r="A85" s="433" t="s">
        <v>455</v>
      </c>
      <c r="B85" s="434" t="s">
        <v>13</v>
      </c>
      <c r="C85" s="434" t="s">
        <v>474</v>
      </c>
      <c r="D85" s="434" t="s">
        <v>473</v>
      </c>
      <c r="E85" s="434" t="s">
        <v>120</v>
      </c>
      <c r="F85" s="434" t="s">
        <v>23</v>
      </c>
      <c r="G85" s="435">
        <v>0</v>
      </c>
      <c r="H85" s="435">
        <v>50</v>
      </c>
      <c r="I85" s="435">
        <v>50</v>
      </c>
      <c r="J85" s="417"/>
      <c r="K85" s="417"/>
      <c r="L85" s="417"/>
      <c r="M85" s="417"/>
    </row>
    <row r="86" spans="1:13" x14ac:dyDescent="0.2">
      <c r="A86" s="433" t="s">
        <v>455</v>
      </c>
      <c r="B86" s="434" t="s">
        <v>13</v>
      </c>
      <c r="C86" s="434" t="s">
        <v>474</v>
      </c>
      <c r="D86" s="434" t="s">
        <v>473</v>
      </c>
      <c r="E86" s="434" t="s">
        <v>121</v>
      </c>
      <c r="F86" s="434" t="s">
        <v>23</v>
      </c>
      <c r="G86" s="435">
        <f>6751.06+80+625-25</f>
        <v>7431.06</v>
      </c>
      <c r="H86" s="435">
        <v>4992.9181399999998</v>
      </c>
      <c r="I86" s="435">
        <v>5912.3579600000003</v>
      </c>
      <c r="J86" s="417"/>
      <c r="K86" s="417"/>
      <c r="L86" s="417"/>
      <c r="M86" s="417"/>
    </row>
    <row r="87" spans="1:13" x14ac:dyDescent="0.2">
      <c r="A87" s="433" t="s">
        <v>455</v>
      </c>
      <c r="B87" s="434" t="s">
        <v>13</v>
      </c>
      <c r="C87" s="434" t="s">
        <v>474</v>
      </c>
      <c r="D87" s="434" t="s">
        <v>473</v>
      </c>
      <c r="E87" s="434" t="s">
        <v>479</v>
      </c>
      <c r="F87" s="434" t="s">
        <v>23</v>
      </c>
      <c r="G87" s="435">
        <v>2273.5300000000002</v>
      </c>
      <c r="H87" s="435">
        <v>0</v>
      </c>
      <c r="I87" s="435">
        <v>0</v>
      </c>
      <c r="J87" s="417"/>
      <c r="K87" s="417"/>
      <c r="L87" s="417"/>
      <c r="M87" s="417"/>
    </row>
    <row r="88" spans="1:13" x14ac:dyDescent="0.2">
      <c r="A88" s="433" t="s">
        <v>455</v>
      </c>
      <c r="B88" s="434" t="s">
        <v>13</v>
      </c>
      <c r="C88" s="434" t="s">
        <v>474</v>
      </c>
      <c r="D88" s="434" t="s">
        <v>473</v>
      </c>
      <c r="E88" s="434" t="s">
        <v>349</v>
      </c>
      <c r="F88" s="434" t="s">
        <v>23</v>
      </c>
      <c r="G88" s="435">
        <v>385.17</v>
      </c>
      <c r="H88" s="435">
        <v>800.97825999999998</v>
      </c>
      <c r="I88" s="435">
        <v>683.07692000000009</v>
      </c>
      <c r="J88" s="417"/>
      <c r="K88" s="417"/>
      <c r="L88" s="417"/>
      <c r="M88" s="417"/>
    </row>
    <row r="89" spans="1:13" x14ac:dyDescent="0.2">
      <c r="A89" s="433" t="s">
        <v>455</v>
      </c>
      <c r="B89" s="434" t="s">
        <v>13</v>
      </c>
      <c r="C89" s="434" t="s">
        <v>474</v>
      </c>
      <c r="D89" s="434" t="s">
        <v>473</v>
      </c>
      <c r="E89" s="434" t="s">
        <v>122</v>
      </c>
      <c r="F89" s="434" t="s">
        <v>23</v>
      </c>
      <c r="G89" s="435">
        <v>1151.4100000000001</v>
      </c>
      <c r="H89" s="435">
        <v>100</v>
      </c>
      <c r="I89" s="435">
        <v>100</v>
      </c>
      <c r="J89" s="417"/>
      <c r="K89" s="417"/>
      <c r="L89" s="417"/>
      <c r="M89" s="417"/>
    </row>
    <row r="90" spans="1:13" x14ac:dyDescent="0.2">
      <c r="A90" s="433" t="s">
        <v>455</v>
      </c>
      <c r="B90" s="434" t="s">
        <v>13</v>
      </c>
      <c r="C90" s="434" t="s">
        <v>474</v>
      </c>
      <c r="D90" s="434" t="s">
        <v>473</v>
      </c>
      <c r="E90" s="434" t="s">
        <v>478</v>
      </c>
      <c r="F90" s="434" t="s">
        <v>23</v>
      </c>
      <c r="G90" s="435">
        <v>2064.6</v>
      </c>
      <c r="H90" s="435">
        <v>2064.6035999999999</v>
      </c>
      <c r="I90" s="435">
        <v>0</v>
      </c>
      <c r="J90" s="417"/>
      <c r="K90" s="417"/>
      <c r="L90" s="417"/>
      <c r="M90" s="417"/>
    </row>
    <row r="91" spans="1:13" x14ac:dyDescent="0.2">
      <c r="A91" s="433" t="s">
        <v>455</v>
      </c>
      <c r="B91" s="434" t="s">
        <v>13</v>
      </c>
      <c r="C91" s="434" t="s">
        <v>474</v>
      </c>
      <c r="D91" s="434" t="s">
        <v>473</v>
      </c>
      <c r="E91" s="434" t="s">
        <v>477</v>
      </c>
      <c r="F91" s="434" t="s">
        <v>23</v>
      </c>
      <c r="G91" s="435">
        <v>1578.95</v>
      </c>
      <c r="H91" s="435">
        <v>0</v>
      </c>
      <c r="I91" s="435">
        <v>0</v>
      </c>
      <c r="J91" s="417"/>
      <c r="K91" s="417"/>
      <c r="L91" s="417"/>
      <c r="M91" s="417"/>
    </row>
    <row r="92" spans="1:13" x14ac:dyDescent="0.2">
      <c r="A92" s="433" t="s">
        <v>455</v>
      </c>
      <c r="B92" s="434" t="s">
        <v>13</v>
      </c>
      <c r="C92" s="434" t="s">
        <v>474</v>
      </c>
      <c r="D92" s="434" t="s">
        <v>473</v>
      </c>
      <c r="E92" s="434" t="s">
        <v>476</v>
      </c>
      <c r="F92" s="434" t="s">
        <v>23</v>
      </c>
      <c r="G92" s="435">
        <v>2243.42</v>
      </c>
      <c r="H92" s="435">
        <v>0</v>
      </c>
      <c r="I92" s="435">
        <v>0</v>
      </c>
      <c r="J92" s="417"/>
      <c r="K92" s="417"/>
      <c r="L92" s="417"/>
      <c r="M92" s="417"/>
    </row>
    <row r="93" spans="1:13" x14ac:dyDescent="0.2">
      <c r="A93" s="433" t="s">
        <v>455</v>
      </c>
      <c r="B93" s="434" t="s">
        <v>13</v>
      </c>
      <c r="C93" s="434" t="s">
        <v>474</v>
      </c>
      <c r="D93" s="434" t="s">
        <v>473</v>
      </c>
      <c r="E93" s="434" t="s">
        <v>475</v>
      </c>
      <c r="F93" s="434" t="s">
        <v>23</v>
      </c>
      <c r="G93" s="435">
        <v>110.18</v>
      </c>
      <c r="H93" s="435">
        <v>0</v>
      </c>
      <c r="I93" s="435">
        <v>0</v>
      </c>
      <c r="J93" s="417"/>
      <c r="K93" s="417"/>
      <c r="L93" s="417"/>
      <c r="M93" s="417"/>
    </row>
    <row r="94" spans="1:13" x14ac:dyDescent="0.2">
      <c r="A94" s="433" t="s">
        <v>455</v>
      </c>
      <c r="B94" s="434" t="s">
        <v>13</v>
      </c>
      <c r="C94" s="434" t="s">
        <v>474</v>
      </c>
      <c r="D94" s="434" t="s">
        <v>473</v>
      </c>
      <c r="E94" s="434" t="s">
        <v>123</v>
      </c>
      <c r="F94" s="434" t="s">
        <v>23</v>
      </c>
      <c r="G94" s="435">
        <v>0</v>
      </c>
      <c r="H94" s="435">
        <v>200</v>
      </c>
      <c r="I94" s="435">
        <v>200</v>
      </c>
      <c r="J94" s="417"/>
      <c r="K94" s="417"/>
      <c r="L94" s="417"/>
      <c r="M94" s="417"/>
    </row>
    <row r="95" spans="1:13" x14ac:dyDescent="0.2">
      <c r="A95" s="439" t="s">
        <v>247</v>
      </c>
      <c r="B95" s="440" t="s">
        <v>13</v>
      </c>
      <c r="C95" s="440" t="s">
        <v>471</v>
      </c>
      <c r="D95" s="440" t="s">
        <v>456</v>
      </c>
      <c r="E95" s="440"/>
      <c r="F95" s="440"/>
      <c r="G95" s="441">
        <f>G96</f>
        <v>441.35696999999999</v>
      </c>
      <c r="H95" s="441">
        <f>H96</f>
        <v>300</v>
      </c>
      <c r="I95" s="441">
        <f>I96</f>
        <v>300</v>
      </c>
      <c r="J95" s="417"/>
      <c r="K95" s="417"/>
      <c r="L95" s="417"/>
      <c r="M95" s="417"/>
    </row>
    <row r="96" spans="1:13" x14ac:dyDescent="0.2">
      <c r="A96" s="439" t="s">
        <v>472</v>
      </c>
      <c r="B96" s="440" t="s">
        <v>13</v>
      </c>
      <c r="C96" s="440" t="s">
        <v>471</v>
      </c>
      <c r="D96" s="440" t="s">
        <v>471</v>
      </c>
      <c r="E96" s="440"/>
      <c r="F96" s="440"/>
      <c r="G96" s="441">
        <f>SUM(G97:G99)</f>
        <v>441.35696999999999</v>
      </c>
      <c r="H96" s="441">
        <f>SUM(H97:H99)</f>
        <v>300</v>
      </c>
      <c r="I96" s="441">
        <f>SUM(I97:I99)</f>
        <v>300</v>
      </c>
      <c r="J96" s="417"/>
      <c r="K96" s="417"/>
      <c r="L96" s="417"/>
      <c r="M96" s="417"/>
    </row>
    <row r="97" spans="1:13" x14ac:dyDescent="0.2">
      <c r="A97" s="433" t="s">
        <v>455</v>
      </c>
      <c r="B97" s="434" t="s">
        <v>13</v>
      </c>
      <c r="C97" s="434" t="s">
        <v>471</v>
      </c>
      <c r="D97" s="434" t="s">
        <v>471</v>
      </c>
      <c r="E97" s="434" t="s">
        <v>152</v>
      </c>
      <c r="F97" s="434" t="s">
        <v>23</v>
      </c>
      <c r="G97" s="435">
        <f>300-100+13</f>
        <v>213</v>
      </c>
      <c r="H97" s="435">
        <v>300</v>
      </c>
      <c r="I97" s="435">
        <v>300</v>
      </c>
      <c r="J97" s="417"/>
      <c r="K97" s="417"/>
      <c r="L97" s="417"/>
      <c r="M97" s="417"/>
    </row>
    <row r="98" spans="1:13" x14ac:dyDescent="0.2">
      <c r="A98" s="433" t="s">
        <v>459</v>
      </c>
      <c r="B98" s="434" t="s">
        <v>13</v>
      </c>
      <c r="C98" s="434" t="s">
        <v>471</v>
      </c>
      <c r="D98" s="434" t="s">
        <v>471</v>
      </c>
      <c r="E98" s="434" t="s">
        <v>151</v>
      </c>
      <c r="F98" s="434" t="s">
        <v>39</v>
      </c>
      <c r="G98" s="435">
        <v>175.35497000000001</v>
      </c>
      <c r="H98" s="435">
        <v>0</v>
      </c>
      <c r="I98" s="435">
        <v>0</v>
      </c>
      <c r="J98" s="417"/>
      <c r="K98" s="417"/>
      <c r="L98" s="417"/>
      <c r="M98" s="417"/>
    </row>
    <row r="99" spans="1:13" ht="51" x14ac:dyDescent="0.2">
      <c r="A99" s="433" t="s">
        <v>466</v>
      </c>
      <c r="B99" s="434" t="s">
        <v>13</v>
      </c>
      <c r="C99" s="434" t="s">
        <v>471</v>
      </c>
      <c r="D99" s="434" t="s">
        <v>471</v>
      </c>
      <c r="E99" s="434" t="s">
        <v>151</v>
      </c>
      <c r="F99" s="434" t="s">
        <v>61</v>
      </c>
      <c r="G99" s="435">
        <v>53.002000000000002</v>
      </c>
      <c r="H99" s="435">
        <v>0</v>
      </c>
      <c r="I99" s="435">
        <v>0</v>
      </c>
      <c r="J99" s="417"/>
      <c r="K99" s="417"/>
      <c r="L99" s="417"/>
      <c r="M99" s="417"/>
    </row>
    <row r="100" spans="1:13" x14ac:dyDescent="0.2">
      <c r="A100" s="430" t="s">
        <v>252</v>
      </c>
      <c r="B100" s="431" t="s">
        <v>13</v>
      </c>
      <c r="C100" s="431" t="s">
        <v>465</v>
      </c>
      <c r="D100" s="431" t="s">
        <v>456</v>
      </c>
      <c r="E100" s="431"/>
      <c r="F100" s="431"/>
      <c r="G100" s="432">
        <f>G101</f>
        <v>10797.539000000001</v>
      </c>
      <c r="H100" s="432">
        <f>H101</f>
        <v>6930.04</v>
      </c>
      <c r="I100" s="432">
        <f>I101</f>
        <v>7232.58</v>
      </c>
      <c r="J100" s="417"/>
      <c r="K100" s="417"/>
      <c r="L100" s="417"/>
      <c r="M100" s="417"/>
    </row>
    <row r="101" spans="1:13" x14ac:dyDescent="0.2">
      <c r="A101" s="430" t="s">
        <v>253</v>
      </c>
      <c r="B101" s="431" t="s">
        <v>13</v>
      </c>
      <c r="C101" s="431" t="s">
        <v>465</v>
      </c>
      <c r="D101" s="431" t="s">
        <v>463</v>
      </c>
      <c r="E101" s="431"/>
      <c r="F101" s="431"/>
      <c r="G101" s="432">
        <f>SUM(G102:G117)</f>
        <v>10797.539000000001</v>
      </c>
      <c r="H101" s="432">
        <f>SUM(H102:H117)</f>
        <v>6930.04</v>
      </c>
      <c r="I101" s="432">
        <f>SUM(I102:I117)</f>
        <v>7232.58</v>
      </c>
      <c r="J101" s="417"/>
      <c r="K101" s="417"/>
      <c r="L101" s="417"/>
      <c r="M101" s="417"/>
    </row>
    <row r="102" spans="1:13" x14ac:dyDescent="0.2">
      <c r="A102" s="433" t="s">
        <v>459</v>
      </c>
      <c r="B102" s="434" t="s">
        <v>13</v>
      </c>
      <c r="C102" s="434" t="s">
        <v>465</v>
      </c>
      <c r="D102" s="434" t="s">
        <v>463</v>
      </c>
      <c r="E102" s="434" t="s">
        <v>138</v>
      </c>
      <c r="F102" s="434" t="s">
        <v>39</v>
      </c>
      <c r="G102" s="435">
        <v>3055.453</v>
      </c>
      <c r="H102" s="435">
        <v>3120</v>
      </c>
      <c r="I102" s="435">
        <v>3244.8</v>
      </c>
      <c r="J102" s="417"/>
      <c r="K102" s="417"/>
      <c r="L102" s="417"/>
      <c r="M102" s="417"/>
    </row>
    <row r="103" spans="1:13" ht="25.5" x14ac:dyDescent="0.2">
      <c r="A103" s="433" t="s">
        <v>468</v>
      </c>
      <c r="B103" s="434" t="s">
        <v>13</v>
      </c>
      <c r="C103" s="434" t="s">
        <v>465</v>
      </c>
      <c r="D103" s="434" t="s">
        <v>463</v>
      </c>
      <c r="E103" s="434" t="s">
        <v>138</v>
      </c>
      <c r="F103" s="434" t="s">
        <v>70</v>
      </c>
      <c r="G103" s="435">
        <v>13</v>
      </c>
      <c r="H103" s="435">
        <v>13</v>
      </c>
      <c r="I103" s="435">
        <v>13</v>
      </c>
      <c r="J103" s="417"/>
      <c r="K103" s="417"/>
      <c r="L103" s="417"/>
      <c r="M103" s="417"/>
    </row>
    <row r="104" spans="1:13" ht="51" x14ac:dyDescent="0.2">
      <c r="A104" s="433" t="s">
        <v>466</v>
      </c>
      <c r="B104" s="434" t="s">
        <v>13</v>
      </c>
      <c r="C104" s="434" t="s">
        <v>465</v>
      </c>
      <c r="D104" s="434" t="s">
        <v>463</v>
      </c>
      <c r="E104" s="434" t="s">
        <v>138</v>
      </c>
      <c r="F104" s="434" t="s">
        <v>61</v>
      </c>
      <c r="G104" s="435">
        <v>922.75</v>
      </c>
      <c r="H104" s="435">
        <v>943</v>
      </c>
      <c r="I104" s="435">
        <v>980</v>
      </c>
      <c r="J104" s="417"/>
      <c r="K104" s="417"/>
      <c r="L104" s="417"/>
      <c r="M104" s="417"/>
    </row>
    <row r="105" spans="1:13" ht="38.25" x14ac:dyDescent="0.2">
      <c r="A105" s="433" t="s">
        <v>470</v>
      </c>
      <c r="B105" s="434" t="s">
        <v>13</v>
      </c>
      <c r="C105" s="434" t="s">
        <v>465</v>
      </c>
      <c r="D105" s="434" t="s">
        <v>463</v>
      </c>
      <c r="E105" s="434" t="s">
        <v>138</v>
      </c>
      <c r="F105" s="434" t="s">
        <v>67</v>
      </c>
      <c r="G105" s="435">
        <f>112+20</f>
        <v>132</v>
      </c>
      <c r="H105" s="435">
        <v>30</v>
      </c>
      <c r="I105" s="435">
        <v>30.82</v>
      </c>
      <c r="J105" s="417"/>
      <c r="K105" s="417"/>
      <c r="L105" s="417"/>
      <c r="M105" s="417"/>
    </row>
    <row r="106" spans="1:13" x14ac:dyDescent="0.2">
      <c r="A106" s="433" t="s">
        <v>455</v>
      </c>
      <c r="B106" s="434" t="s">
        <v>13</v>
      </c>
      <c r="C106" s="434" t="s">
        <v>465</v>
      </c>
      <c r="D106" s="434" t="s">
        <v>463</v>
      </c>
      <c r="E106" s="434" t="s">
        <v>138</v>
      </c>
      <c r="F106" s="434" t="s">
        <v>23</v>
      </c>
      <c r="G106" s="435">
        <f>1316+140</f>
        <v>1456</v>
      </c>
      <c r="H106" s="435">
        <v>1110</v>
      </c>
      <c r="I106" s="435">
        <v>1210</v>
      </c>
      <c r="J106" s="417"/>
      <c r="K106" s="417"/>
      <c r="L106" s="417"/>
      <c r="M106" s="417"/>
    </row>
    <row r="107" spans="1:13" x14ac:dyDescent="0.2">
      <c r="A107" s="433" t="s">
        <v>467</v>
      </c>
      <c r="B107" s="434" t="s">
        <v>13</v>
      </c>
      <c r="C107" s="434" t="s">
        <v>465</v>
      </c>
      <c r="D107" s="434" t="s">
        <v>463</v>
      </c>
      <c r="E107" s="434" t="s">
        <v>138</v>
      </c>
      <c r="F107" s="434" t="s">
        <v>350</v>
      </c>
      <c r="G107" s="435">
        <v>190</v>
      </c>
      <c r="H107" s="435">
        <v>190</v>
      </c>
      <c r="I107" s="435">
        <v>190</v>
      </c>
      <c r="J107" s="417"/>
      <c r="K107" s="417"/>
      <c r="L107" s="417"/>
      <c r="M107" s="417"/>
    </row>
    <row r="108" spans="1:13" x14ac:dyDescent="0.2">
      <c r="A108" s="433" t="s">
        <v>469</v>
      </c>
      <c r="B108" s="434" t="s">
        <v>13</v>
      </c>
      <c r="C108" s="434" t="s">
        <v>465</v>
      </c>
      <c r="D108" s="434" t="s">
        <v>463</v>
      </c>
      <c r="E108" s="434" t="s">
        <v>138</v>
      </c>
      <c r="F108" s="434" t="s">
        <v>68</v>
      </c>
      <c r="G108" s="435">
        <v>2</v>
      </c>
      <c r="H108" s="435">
        <v>0</v>
      </c>
      <c r="I108" s="435">
        <v>0</v>
      </c>
      <c r="J108" s="417"/>
      <c r="K108" s="417"/>
      <c r="L108" s="417"/>
      <c r="M108" s="417"/>
    </row>
    <row r="109" spans="1:13" x14ac:dyDescent="0.2">
      <c r="A109" s="433" t="s">
        <v>66</v>
      </c>
      <c r="B109" s="434" t="s">
        <v>13</v>
      </c>
      <c r="C109" s="434" t="s">
        <v>465</v>
      </c>
      <c r="D109" s="434" t="s">
        <v>463</v>
      </c>
      <c r="E109" s="434" t="s">
        <v>138</v>
      </c>
      <c r="F109" s="434" t="s">
        <v>69</v>
      </c>
      <c r="G109" s="435">
        <f>16+0.002</f>
        <v>16.001999999999999</v>
      </c>
      <c r="H109" s="435">
        <v>0</v>
      </c>
      <c r="I109" s="435">
        <v>0</v>
      </c>
      <c r="J109" s="417"/>
      <c r="K109" s="417"/>
      <c r="L109" s="417"/>
      <c r="M109" s="417"/>
    </row>
    <row r="110" spans="1:13" x14ac:dyDescent="0.2">
      <c r="A110" s="433" t="s">
        <v>459</v>
      </c>
      <c r="B110" s="434" t="s">
        <v>13</v>
      </c>
      <c r="C110" s="434" t="s">
        <v>465</v>
      </c>
      <c r="D110" s="434" t="s">
        <v>463</v>
      </c>
      <c r="E110" s="434" t="s">
        <v>144</v>
      </c>
      <c r="F110" s="434" t="s">
        <v>39</v>
      </c>
      <c r="G110" s="435">
        <f>766.54-100</f>
        <v>666.54</v>
      </c>
      <c r="H110" s="435">
        <v>766.54</v>
      </c>
      <c r="I110" s="435">
        <v>797.2</v>
      </c>
      <c r="J110" s="417"/>
      <c r="K110" s="417"/>
      <c r="L110" s="417"/>
      <c r="M110" s="417"/>
    </row>
    <row r="111" spans="1:13" ht="25.5" x14ac:dyDescent="0.2">
      <c r="A111" s="433" t="s">
        <v>468</v>
      </c>
      <c r="B111" s="434" t="s">
        <v>13</v>
      </c>
      <c r="C111" s="434" t="s">
        <v>465</v>
      </c>
      <c r="D111" s="434" t="s">
        <v>463</v>
      </c>
      <c r="E111" s="434" t="s">
        <v>144</v>
      </c>
      <c r="F111" s="434" t="s">
        <v>70</v>
      </c>
      <c r="G111" s="435">
        <v>10</v>
      </c>
      <c r="H111" s="435">
        <v>10</v>
      </c>
      <c r="I111" s="435">
        <v>10</v>
      </c>
      <c r="J111" s="417"/>
      <c r="K111" s="417"/>
      <c r="L111" s="417"/>
      <c r="M111" s="417"/>
    </row>
    <row r="112" spans="1:13" ht="51" x14ac:dyDescent="0.2">
      <c r="A112" s="433" t="s">
        <v>466</v>
      </c>
      <c r="B112" s="434" t="s">
        <v>13</v>
      </c>
      <c r="C112" s="434" t="s">
        <v>465</v>
      </c>
      <c r="D112" s="434" t="s">
        <v>463</v>
      </c>
      <c r="E112" s="434" t="s">
        <v>144</v>
      </c>
      <c r="F112" s="434" t="s">
        <v>61</v>
      </c>
      <c r="G112" s="435">
        <f>232-50</f>
        <v>182</v>
      </c>
      <c r="H112" s="435">
        <v>231.5</v>
      </c>
      <c r="I112" s="435">
        <v>240.76</v>
      </c>
      <c r="J112" s="417"/>
      <c r="K112" s="417"/>
      <c r="L112" s="417"/>
      <c r="M112" s="417"/>
    </row>
    <row r="113" spans="1:13" x14ac:dyDescent="0.2">
      <c r="A113" s="433" t="s">
        <v>455</v>
      </c>
      <c r="B113" s="434" t="s">
        <v>13</v>
      </c>
      <c r="C113" s="434" t="s">
        <v>465</v>
      </c>
      <c r="D113" s="434" t="s">
        <v>463</v>
      </c>
      <c r="E113" s="434" t="s">
        <v>144</v>
      </c>
      <c r="F113" s="434" t="s">
        <v>23</v>
      </c>
      <c r="G113" s="435">
        <f>328-20-80</f>
        <v>228</v>
      </c>
      <c r="H113" s="435">
        <v>180</v>
      </c>
      <c r="I113" s="435">
        <v>180</v>
      </c>
      <c r="J113" s="417"/>
      <c r="K113" s="417"/>
      <c r="L113" s="417"/>
      <c r="M113" s="417"/>
    </row>
    <row r="114" spans="1:13" x14ac:dyDescent="0.2">
      <c r="A114" s="433" t="s">
        <v>467</v>
      </c>
      <c r="B114" s="434" t="s">
        <v>13</v>
      </c>
      <c r="C114" s="434" t="s">
        <v>465</v>
      </c>
      <c r="D114" s="434" t="s">
        <v>463</v>
      </c>
      <c r="E114" s="434" t="s">
        <v>144</v>
      </c>
      <c r="F114" s="434" t="s">
        <v>350</v>
      </c>
      <c r="G114" s="435">
        <v>36</v>
      </c>
      <c r="H114" s="435">
        <v>36</v>
      </c>
      <c r="I114" s="435">
        <v>36</v>
      </c>
      <c r="J114" s="417"/>
      <c r="K114" s="417"/>
      <c r="L114" s="417"/>
      <c r="M114" s="417"/>
    </row>
    <row r="115" spans="1:13" x14ac:dyDescent="0.2">
      <c r="A115" s="433" t="s">
        <v>455</v>
      </c>
      <c r="B115" s="434" t="s">
        <v>13</v>
      </c>
      <c r="C115" s="434" t="s">
        <v>465</v>
      </c>
      <c r="D115" s="434" t="s">
        <v>463</v>
      </c>
      <c r="E115" s="434" t="s">
        <v>145</v>
      </c>
      <c r="F115" s="434" t="s">
        <v>23</v>
      </c>
      <c r="G115" s="435">
        <f>1082+-83.21</f>
        <v>998.79</v>
      </c>
      <c r="H115" s="435">
        <v>300</v>
      </c>
      <c r="I115" s="435">
        <v>300</v>
      </c>
      <c r="J115" s="417"/>
      <c r="K115" s="417"/>
      <c r="L115" s="417"/>
      <c r="M115" s="417"/>
    </row>
    <row r="116" spans="1:13" x14ac:dyDescent="0.2">
      <c r="A116" s="433" t="s">
        <v>459</v>
      </c>
      <c r="B116" s="434" t="s">
        <v>13</v>
      </c>
      <c r="C116" s="434" t="s">
        <v>465</v>
      </c>
      <c r="D116" s="434" t="s">
        <v>463</v>
      </c>
      <c r="E116" s="434" t="s">
        <v>464</v>
      </c>
      <c r="F116" s="434" t="s">
        <v>39</v>
      </c>
      <c r="G116" s="435">
        <v>2218.8939999999998</v>
      </c>
      <c r="H116" s="435">
        <v>0</v>
      </c>
      <c r="I116" s="435">
        <v>0</v>
      </c>
      <c r="J116" s="417"/>
      <c r="K116" s="417"/>
      <c r="L116" s="417"/>
      <c r="M116" s="417"/>
    </row>
    <row r="117" spans="1:13" ht="51" x14ac:dyDescent="0.2">
      <c r="A117" s="433" t="s">
        <v>466</v>
      </c>
      <c r="B117" s="434" t="s">
        <v>13</v>
      </c>
      <c r="C117" s="434" t="s">
        <v>465</v>
      </c>
      <c r="D117" s="434" t="s">
        <v>463</v>
      </c>
      <c r="E117" s="434" t="s">
        <v>464</v>
      </c>
      <c r="F117" s="434" t="s">
        <v>61</v>
      </c>
      <c r="G117" s="435">
        <v>670.11</v>
      </c>
      <c r="H117" s="435">
        <v>0</v>
      </c>
      <c r="I117" s="435">
        <v>0</v>
      </c>
      <c r="J117" s="417"/>
      <c r="K117" s="417"/>
      <c r="L117" s="417"/>
      <c r="M117" s="417"/>
    </row>
    <row r="118" spans="1:13" x14ac:dyDescent="0.2">
      <c r="A118" s="439" t="s">
        <v>45</v>
      </c>
      <c r="B118" s="440" t="s">
        <v>13</v>
      </c>
      <c r="C118" s="440" t="s">
        <v>458</v>
      </c>
      <c r="D118" s="440" t="s">
        <v>456</v>
      </c>
      <c r="E118" s="440"/>
      <c r="F118" s="440"/>
      <c r="G118" s="441">
        <f>G119+G121</f>
        <v>587.89</v>
      </c>
      <c r="H118" s="441">
        <f>H119+H121</f>
        <v>2469.81</v>
      </c>
      <c r="I118" s="441">
        <f>I119+I121</f>
        <v>636.41</v>
      </c>
      <c r="J118" s="417"/>
      <c r="K118" s="417"/>
      <c r="L118" s="417"/>
      <c r="M118" s="417"/>
    </row>
    <row r="119" spans="1:13" x14ac:dyDescent="0.2">
      <c r="A119" s="439" t="s">
        <v>92</v>
      </c>
      <c r="B119" s="440" t="s">
        <v>13</v>
      </c>
      <c r="C119" s="440" t="s">
        <v>458</v>
      </c>
      <c r="D119" s="440" t="s">
        <v>463</v>
      </c>
      <c r="E119" s="440"/>
      <c r="F119" s="440"/>
      <c r="G119" s="441">
        <f>SUM(G120)</f>
        <v>587.84</v>
      </c>
      <c r="H119" s="441">
        <f>SUM(H120)</f>
        <v>611.36</v>
      </c>
      <c r="I119" s="441">
        <f>SUM(I120)</f>
        <v>635.80999999999995</v>
      </c>
      <c r="J119" s="417"/>
      <c r="K119" s="417"/>
      <c r="L119" s="417"/>
      <c r="M119" s="417"/>
    </row>
    <row r="120" spans="1:13" ht="38.25" x14ac:dyDescent="0.2">
      <c r="A120" s="433" t="s">
        <v>249</v>
      </c>
      <c r="B120" s="434" t="s">
        <v>13</v>
      </c>
      <c r="C120" s="434" t="s">
        <v>458</v>
      </c>
      <c r="D120" s="434" t="s">
        <v>463</v>
      </c>
      <c r="E120" s="434" t="s">
        <v>462</v>
      </c>
      <c r="F120" s="434" t="s">
        <v>41</v>
      </c>
      <c r="G120" s="435">
        <v>587.84</v>
      </c>
      <c r="H120" s="435">
        <v>611.36</v>
      </c>
      <c r="I120" s="435">
        <v>635.80999999999995</v>
      </c>
      <c r="J120" s="417"/>
      <c r="K120" s="417"/>
      <c r="L120" s="417"/>
      <c r="M120" s="417"/>
    </row>
    <row r="121" spans="1:13" x14ac:dyDescent="0.2">
      <c r="A121" s="439" t="s">
        <v>250</v>
      </c>
      <c r="B121" s="440" t="s">
        <v>13</v>
      </c>
      <c r="C121" s="440" t="s">
        <v>458</v>
      </c>
      <c r="D121" s="440" t="s">
        <v>457</v>
      </c>
      <c r="E121" s="440"/>
      <c r="F121" s="440"/>
      <c r="G121" s="441">
        <f>SUM(G122:G123)</f>
        <v>0.05</v>
      </c>
      <c r="H121" s="441">
        <f>SUM(H122:H123)</f>
        <v>1858.4499999999998</v>
      </c>
      <c r="I121" s="441">
        <f>SUM(I122:I123)</f>
        <v>0.6</v>
      </c>
      <c r="J121" s="417"/>
      <c r="K121" s="417"/>
      <c r="L121" s="417"/>
      <c r="M121" s="417"/>
    </row>
    <row r="122" spans="1:13" ht="25.5" x14ac:dyDescent="0.2">
      <c r="A122" s="433" t="s">
        <v>461</v>
      </c>
      <c r="B122" s="434" t="s">
        <v>13</v>
      </c>
      <c r="C122" s="434" t="s">
        <v>458</v>
      </c>
      <c r="D122" s="434" t="s">
        <v>457</v>
      </c>
      <c r="E122" s="434" t="s">
        <v>460</v>
      </c>
      <c r="F122" s="434" t="s">
        <v>155</v>
      </c>
      <c r="G122" s="435">
        <v>0</v>
      </c>
      <c r="H122" s="435">
        <v>1857.85</v>
      </c>
      <c r="I122" s="435">
        <v>0</v>
      </c>
      <c r="J122" s="417"/>
      <c r="K122" s="417"/>
      <c r="L122" s="417"/>
      <c r="M122" s="417"/>
    </row>
    <row r="123" spans="1:13" x14ac:dyDescent="0.2">
      <c r="A123" s="433" t="s">
        <v>459</v>
      </c>
      <c r="B123" s="434" t="s">
        <v>13</v>
      </c>
      <c r="C123" s="434" t="s">
        <v>458</v>
      </c>
      <c r="D123" s="434" t="s">
        <v>457</v>
      </c>
      <c r="E123" s="434" t="s">
        <v>138</v>
      </c>
      <c r="F123" s="434" t="s">
        <v>39</v>
      </c>
      <c r="G123" s="435">
        <v>0.05</v>
      </c>
      <c r="H123" s="435">
        <v>0.6</v>
      </c>
      <c r="I123" s="435">
        <v>0.6</v>
      </c>
      <c r="J123" s="417"/>
      <c r="K123" s="417"/>
      <c r="L123" s="417"/>
      <c r="M123" s="417"/>
    </row>
    <row r="124" spans="1:13" x14ac:dyDescent="0.2">
      <c r="A124" s="430" t="s">
        <v>254</v>
      </c>
      <c r="B124" s="431" t="s">
        <v>13</v>
      </c>
      <c r="C124" s="431" t="s">
        <v>454</v>
      </c>
      <c r="D124" s="431" t="s">
        <v>456</v>
      </c>
      <c r="E124" s="431"/>
      <c r="F124" s="431"/>
      <c r="G124" s="432">
        <f>G125</f>
        <v>1319.4</v>
      </c>
      <c r="H124" s="432">
        <f>H125</f>
        <v>1000</v>
      </c>
      <c r="I124" s="432">
        <f>I125</f>
        <v>1000</v>
      </c>
      <c r="J124" s="417"/>
      <c r="K124" s="417"/>
      <c r="L124" s="417"/>
      <c r="M124" s="417"/>
    </row>
    <row r="125" spans="1:13" x14ac:dyDescent="0.2">
      <c r="A125" s="430" t="s">
        <v>256</v>
      </c>
      <c r="B125" s="431" t="s">
        <v>13</v>
      </c>
      <c r="C125" s="431" t="s">
        <v>454</v>
      </c>
      <c r="D125" s="431" t="s">
        <v>453</v>
      </c>
      <c r="E125" s="431"/>
      <c r="F125" s="431"/>
      <c r="G125" s="432">
        <f>SUM(G126)</f>
        <v>1319.4</v>
      </c>
      <c r="H125" s="432">
        <f>SUM(H126)</f>
        <v>1000</v>
      </c>
      <c r="I125" s="432">
        <f>SUM(I126)</f>
        <v>1000</v>
      </c>
      <c r="J125" s="417"/>
      <c r="K125" s="417"/>
      <c r="L125" s="417"/>
      <c r="M125" s="417"/>
    </row>
    <row r="126" spans="1:13" x14ac:dyDescent="0.2">
      <c r="A126" s="433" t="s">
        <v>455</v>
      </c>
      <c r="B126" s="434" t="s">
        <v>13</v>
      </c>
      <c r="C126" s="434" t="s">
        <v>454</v>
      </c>
      <c r="D126" s="434" t="s">
        <v>453</v>
      </c>
      <c r="E126" s="434" t="s">
        <v>452</v>
      </c>
      <c r="F126" s="434" t="s">
        <v>23</v>
      </c>
      <c r="G126" s="435">
        <f>1194.2+125.2</f>
        <v>1319.4</v>
      </c>
      <c r="H126" s="435">
        <v>1000</v>
      </c>
      <c r="I126" s="435">
        <v>1000</v>
      </c>
      <c r="J126" s="417"/>
      <c r="K126" s="417"/>
      <c r="L126" s="417"/>
      <c r="M126" s="417"/>
    </row>
    <row r="127" spans="1:13" x14ac:dyDescent="0.2">
      <c r="A127" s="442" t="s">
        <v>451</v>
      </c>
      <c r="B127" s="425"/>
      <c r="C127" s="425"/>
      <c r="D127" s="425"/>
      <c r="E127" s="425"/>
      <c r="F127" s="425"/>
      <c r="G127" s="426">
        <f>G13+G47+G51+G59+G70+G95+G100+G118+G124</f>
        <v>95357.446469999995</v>
      </c>
      <c r="H127" s="426">
        <f>H13+H47+H51+H59+H70+H95+H100+H118+H124</f>
        <v>53164.237650000003</v>
      </c>
      <c r="I127" s="426">
        <f>I13+I47+I51+I59+I70+I95+I100+I118+I124</f>
        <v>49703.966360000006</v>
      </c>
      <c r="J127" s="417"/>
      <c r="K127" s="417"/>
      <c r="L127" s="417"/>
      <c r="M127" s="417"/>
    </row>
  </sheetData>
  <mergeCells count="7">
    <mergeCell ref="I9:I10"/>
    <mergeCell ref="A9:A10"/>
    <mergeCell ref="A5:H7"/>
    <mergeCell ref="B9:F9"/>
    <mergeCell ref="C10:D10"/>
    <mergeCell ref="G9:G10"/>
    <mergeCell ref="H9:H10"/>
  </mergeCells>
  <pageMargins left="1.17" right="0.39" top="0.78" bottom="0.78" header="0" footer="0"/>
  <pageSetup paperSize="9" scale="74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20"/>
  <sheetViews>
    <sheetView tabSelected="1" topLeftCell="A15" workbookViewId="0">
      <selection activeCell="P13" sqref="P13"/>
    </sheetView>
  </sheetViews>
  <sheetFormatPr defaultRowHeight="12.75" x14ac:dyDescent="0.2"/>
  <cols>
    <col min="1" max="1" width="4.28515625" style="130" customWidth="1"/>
    <col min="2" max="2" width="22.5703125" customWidth="1"/>
    <col min="3" max="3" width="7" style="131" customWidth="1"/>
    <col min="4" max="4" width="17.42578125" style="132" customWidth="1"/>
    <col min="5" max="5" width="16.5703125" style="133" customWidth="1"/>
    <col min="6" max="6" width="12.5703125" style="123" hidden="1" customWidth="1"/>
    <col min="7" max="7" width="12.85546875" style="123" hidden="1" customWidth="1"/>
    <col min="8" max="8" width="11.7109375" style="123" hidden="1" customWidth="1"/>
    <col min="9" max="9" width="9.5703125" style="123" hidden="1" customWidth="1"/>
    <col min="10" max="11" width="0.140625" style="122" hidden="1" customWidth="1"/>
    <col min="12" max="12" width="12" customWidth="1"/>
    <col min="13" max="13" width="2.28515625" hidden="1" customWidth="1"/>
    <col min="14" max="14" width="11.85546875" customWidth="1"/>
    <col min="15" max="15" width="11.28515625" customWidth="1"/>
    <col min="257" max="257" width="4.28515625" customWidth="1"/>
    <col min="258" max="258" width="26.28515625" customWidth="1"/>
    <col min="260" max="260" width="17.42578125" customWidth="1"/>
    <col min="261" max="261" width="16.5703125" customWidth="1"/>
    <col min="262" max="267" width="0" hidden="1" customWidth="1"/>
    <col min="268" max="268" width="12" customWidth="1"/>
    <col min="269" max="269" width="0" hidden="1" customWidth="1"/>
    <col min="270" max="270" width="11.85546875" customWidth="1"/>
    <col min="271" max="271" width="11.28515625" customWidth="1"/>
    <col min="513" max="513" width="4.28515625" customWidth="1"/>
    <col min="514" max="514" width="26.28515625" customWidth="1"/>
    <col min="516" max="516" width="17.42578125" customWidth="1"/>
    <col min="517" max="517" width="16.5703125" customWidth="1"/>
    <col min="518" max="523" width="0" hidden="1" customWidth="1"/>
    <col min="524" max="524" width="12" customWidth="1"/>
    <col min="525" max="525" width="0" hidden="1" customWidth="1"/>
    <col min="526" max="526" width="11.85546875" customWidth="1"/>
    <col min="527" max="527" width="11.28515625" customWidth="1"/>
    <col min="769" max="769" width="4.28515625" customWidth="1"/>
    <col min="770" max="770" width="26.28515625" customWidth="1"/>
    <col min="772" max="772" width="17.42578125" customWidth="1"/>
    <col min="773" max="773" width="16.5703125" customWidth="1"/>
    <col min="774" max="779" width="0" hidden="1" customWidth="1"/>
    <col min="780" max="780" width="12" customWidth="1"/>
    <col min="781" max="781" width="0" hidden="1" customWidth="1"/>
    <col min="782" max="782" width="11.85546875" customWidth="1"/>
    <col min="783" max="783" width="11.28515625" customWidth="1"/>
    <col min="1025" max="1025" width="4.28515625" customWidth="1"/>
    <col min="1026" max="1026" width="26.28515625" customWidth="1"/>
    <col min="1028" max="1028" width="17.42578125" customWidth="1"/>
    <col min="1029" max="1029" width="16.5703125" customWidth="1"/>
    <col min="1030" max="1035" width="0" hidden="1" customWidth="1"/>
    <col min="1036" max="1036" width="12" customWidth="1"/>
    <col min="1037" max="1037" width="0" hidden="1" customWidth="1"/>
    <col min="1038" max="1038" width="11.85546875" customWidth="1"/>
    <col min="1039" max="1039" width="11.28515625" customWidth="1"/>
    <col min="1281" max="1281" width="4.28515625" customWidth="1"/>
    <col min="1282" max="1282" width="26.28515625" customWidth="1"/>
    <col min="1284" max="1284" width="17.42578125" customWidth="1"/>
    <col min="1285" max="1285" width="16.5703125" customWidth="1"/>
    <col min="1286" max="1291" width="0" hidden="1" customWidth="1"/>
    <col min="1292" max="1292" width="12" customWidth="1"/>
    <col min="1293" max="1293" width="0" hidden="1" customWidth="1"/>
    <col min="1294" max="1294" width="11.85546875" customWidth="1"/>
    <col min="1295" max="1295" width="11.28515625" customWidth="1"/>
    <col min="1537" max="1537" width="4.28515625" customWidth="1"/>
    <col min="1538" max="1538" width="26.28515625" customWidth="1"/>
    <col min="1540" max="1540" width="17.42578125" customWidth="1"/>
    <col min="1541" max="1541" width="16.5703125" customWidth="1"/>
    <col min="1542" max="1547" width="0" hidden="1" customWidth="1"/>
    <col min="1548" max="1548" width="12" customWidth="1"/>
    <col min="1549" max="1549" width="0" hidden="1" customWidth="1"/>
    <col min="1550" max="1550" width="11.85546875" customWidth="1"/>
    <col min="1551" max="1551" width="11.28515625" customWidth="1"/>
    <col min="1793" max="1793" width="4.28515625" customWidth="1"/>
    <col min="1794" max="1794" width="26.28515625" customWidth="1"/>
    <col min="1796" max="1796" width="17.42578125" customWidth="1"/>
    <col min="1797" max="1797" width="16.5703125" customWidth="1"/>
    <col min="1798" max="1803" width="0" hidden="1" customWidth="1"/>
    <col min="1804" max="1804" width="12" customWidth="1"/>
    <col min="1805" max="1805" width="0" hidden="1" customWidth="1"/>
    <col min="1806" max="1806" width="11.85546875" customWidth="1"/>
    <col min="1807" max="1807" width="11.28515625" customWidth="1"/>
    <col min="2049" max="2049" width="4.28515625" customWidth="1"/>
    <col min="2050" max="2050" width="26.28515625" customWidth="1"/>
    <col min="2052" max="2052" width="17.42578125" customWidth="1"/>
    <col min="2053" max="2053" width="16.5703125" customWidth="1"/>
    <col min="2054" max="2059" width="0" hidden="1" customWidth="1"/>
    <col min="2060" max="2060" width="12" customWidth="1"/>
    <col min="2061" max="2061" width="0" hidden="1" customWidth="1"/>
    <col min="2062" max="2062" width="11.85546875" customWidth="1"/>
    <col min="2063" max="2063" width="11.28515625" customWidth="1"/>
    <col min="2305" max="2305" width="4.28515625" customWidth="1"/>
    <col min="2306" max="2306" width="26.28515625" customWidth="1"/>
    <col min="2308" max="2308" width="17.42578125" customWidth="1"/>
    <col min="2309" max="2309" width="16.5703125" customWidth="1"/>
    <col min="2310" max="2315" width="0" hidden="1" customWidth="1"/>
    <col min="2316" max="2316" width="12" customWidth="1"/>
    <col min="2317" max="2317" width="0" hidden="1" customWidth="1"/>
    <col min="2318" max="2318" width="11.85546875" customWidth="1"/>
    <col min="2319" max="2319" width="11.28515625" customWidth="1"/>
    <col min="2561" max="2561" width="4.28515625" customWidth="1"/>
    <col min="2562" max="2562" width="26.28515625" customWidth="1"/>
    <col min="2564" max="2564" width="17.42578125" customWidth="1"/>
    <col min="2565" max="2565" width="16.5703125" customWidth="1"/>
    <col min="2566" max="2571" width="0" hidden="1" customWidth="1"/>
    <col min="2572" max="2572" width="12" customWidth="1"/>
    <col min="2573" max="2573" width="0" hidden="1" customWidth="1"/>
    <col min="2574" max="2574" width="11.85546875" customWidth="1"/>
    <col min="2575" max="2575" width="11.28515625" customWidth="1"/>
    <col min="2817" max="2817" width="4.28515625" customWidth="1"/>
    <col min="2818" max="2818" width="26.28515625" customWidth="1"/>
    <col min="2820" max="2820" width="17.42578125" customWidth="1"/>
    <col min="2821" max="2821" width="16.5703125" customWidth="1"/>
    <col min="2822" max="2827" width="0" hidden="1" customWidth="1"/>
    <col min="2828" max="2828" width="12" customWidth="1"/>
    <col min="2829" max="2829" width="0" hidden="1" customWidth="1"/>
    <col min="2830" max="2830" width="11.85546875" customWidth="1"/>
    <col min="2831" max="2831" width="11.28515625" customWidth="1"/>
    <col min="3073" max="3073" width="4.28515625" customWidth="1"/>
    <col min="3074" max="3074" width="26.28515625" customWidth="1"/>
    <col min="3076" max="3076" width="17.42578125" customWidth="1"/>
    <col min="3077" max="3077" width="16.5703125" customWidth="1"/>
    <col min="3078" max="3083" width="0" hidden="1" customWidth="1"/>
    <col min="3084" max="3084" width="12" customWidth="1"/>
    <col min="3085" max="3085" width="0" hidden="1" customWidth="1"/>
    <col min="3086" max="3086" width="11.85546875" customWidth="1"/>
    <col min="3087" max="3087" width="11.28515625" customWidth="1"/>
    <col min="3329" max="3329" width="4.28515625" customWidth="1"/>
    <col min="3330" max="3330" width="26.28515625" customWidth="1"/>
    <col min="3332" max="3332" width="17.42578125" customWidth="1"/>
    <col min="3333" max="3333" width="16.5703125" customWidth="1"/>
    <col min="3334" max="3339" width="0" hidden="1" customWidth="1"/>
    <col min="3340" max="3340" width="12" customWidth="1"/>
    <col min="3341" max="3341" width="0" hidden="1" customWidth="1"/>
    <col min="3342" max="3342" width="11.85546875" customWidth="1"/>
    <col min="3343" max="3343" width="11.28515625" customWidth="1"/>
    <col min="3585" max="3585" width="4.28515625" customWidth="1"/>
    <col min="3586" max="3586" width="26.28515625" customWidth="1"/>
    <col min="3588" max="3588" width="17.42578125" customWidth="1"/>
    <col min="3589" max="3589" width="16.5703125" customWidth="1"/>
    <col min="3590" max="3595" width="0" hidden="1" customWidth="1"/>
    <col min="3596" max="3596" width="12" customWidth="1"/>
    <col min="3597" max="3597" width="0" hidden="1" customWidth="1"/>
    <col min="3598" max="3598" width="11.85546875" customWidth="1"/>
    <col min="3599" max="3599" width="11.28515625" customWidth="1"/>
    <col min="3841" max="3841" width="4.28515625" customWidth="1"/>
    <col min="3842" max="3842" width="26.28515625" customWidth="1"/>
    <col min="3844" max="3844" width="17.42578125" customWidth="1"/>
    <col min="3845" max="3845" width="16.5703125" customWidth="1"/>
    <col min="3846" max="3851" width="0" hidden="1" customWidth="1"/>
    <col min="3852" max="3852" width="12" customWidth="1"/>
    <col min="3853" max="3853" width="0" hidden="1" customWidth="1"/>
    <col min="3854" max="3854" width="11.85546875" customWidth="1"/>
    <col min="3855" max="3855" width="11.28515625" customWidth="1"/>
    <col min="4097" max="4097" width="4.28515625" customWidth="1"/>
    <col min="4098" max="4098" width="26.28515625" customWidth="1"/>
    <col min="4100" max="4100" width="17.42578125" customWidth="1"/>
    <col min="4101" max="4101" width="16.5703125" customWidth="1"/>
    <col min="4102" max="4107" width="0" hidden="1" customWidth="1"/>
    <col min="4108" max="4108" width="12" customWidth="1"/>
    <col min="4109" max="4109" width="0" hidden="1" customWidth="1"/>
    <col min="4110" max="4110" width="11.85546875" customWidth="1"/>
    <col min="4111" max="4111" width="11.28515625" customWidth="1"/>
    <col min="4353" max="4353" width="4.28515625" customWidth="1"/>
    <col min="4354" max="4354" width="26.28515625" customWidth="1"/>
    <col min="4356" max="4356" width="17.42578125" customWidth="1"/>
    <col min="4357" max="4357" width="16.5703125" customWidth="1"/>
    <col min="4358" max="4363" width="0" hidden="1" customWidth="1"/>
    <col min="4364" max="4364" width="12" customWidth="1"/>
    <col min="4365" max="4365" width="0" hidden="1" customWidth="1"/>
    <col min="4366" max="4366" width="11.85546875" customWidth="1"/>
    <col min="4367" max="4367" width="11.28515625" customWidth="1"/>
    <col min="4609" max="4609" width="4.28515625" customWidth="1"/>
    <col min="4610" max="4610" width="26.28515625" customWidth="1"/>
    <col min="4612" max="4612" width="17.42578125" customWidth="1"/>
    <col min="4613" max="4613" width="16.5703125" customWidth="1"/>
    <col min="4614" max="4619" width="0" hidden="1" customWidth="1"/>
    <col min="4620" max="4620" width="12" customWidth="1"/>
    <col min="4621" max="4621" width="0" hidden="1" customWidth="1"/>
    <col min="4622" max="4622" width="11.85546875" customWidth="1"/>
    <col min="4623" max="4623" width="11.28515625" customWidth="1"/>
    <col min="4865" max="4865" width="4.28515625" customWidth="1"/>
    <col min="4866" max="4866" width="26.28515625" customWidth="1"/>
    <col min="4868" max="4868" width="17.42578125" customWidth="1"/>
    <col min="4869" max="4869" width="16.5703125" customWidth="1"/>
    <col min="4870" max="4875" width="0" hidden="1" customWidth="1"/>
    <col min="4876" max="4876" width="12" customWidth="1"/>
    <col min="4877" max="4877" width="0" hidden="1" customWidth="1"/>
    <col min="4878" max="4878" width="11.85546875" customWidth="1"/>
    <col min="4879" max="4879" width="11.28515625" customWidth="1"/>
    <col min="5121" max="5121" width="4.28515625" customWidth="1"/>
    <col min="5122" max="5122" width="26.28515625" customWidth="1"/>
    <col min="5124" max="5124" width="17.42578125" customWidth="1"/>
    <col min="5125" max="5125" width="16.5703125" customWidth="1"/>
    <col min="5126" max="5131" width="0" hidden="1" customWidth="1"/>
    <col min="5132" max="5132" width="12" customWidth="1"/>
    <col min="5133" max="5133" width="0" hidden="1" customWidth="1"/>
    <col min="5134" max="5134" width="11.85546875" customWidth="1"/>
    <col min="5135" max="5135" width="11.28515625" customWidth="1"/>
    <col min="5377" max="5377" width="4.28515625" customWidth="1"/>
    <col min="5378" max="5378" width="26.28515625" customWidth="1"/>
    <col min="5380" max="5380" width="17.42578125" customWidth="1"/>
    <col min="5381" max="5381" width="16.5703125" customWidth="1"/>
    <col min="5382" max="5387" width="0" hidden="1" customWidth="1"/>
    <col min="5388" max="5388" width="12" customWidth="1"/>
    <col min="5389" max="5389" width="0" hidden="1" customWidth="1"/>
    <col min="5390" max="5390" width="11.85546875" customWidth="1"/>
    <col min="5391" max="5391" width="11.28515625" customWidth="1"/>
    <col min="5633" max="5633" width="4.28515625" customWidth="1"/>
    <col min="5634" max="5634" width="26.28515625" customWidth="1"/>
    <col min="5636" max="5636" width="17.42578125" customWidth="1"/>
    <col min="5637" max="5637" width="16.5703125" customWidth="1"/>
    <col min="5638" max="5643" width="0" hidden="1" customWidth="1"/>
    <col min="5644" max="5644" width="12" customWidth="1"/>
    <col min="5645" max="5645" width="0" hidden="1" customWidth="1"/>
    <col min="5646" max="5646" width="11.85546875" customWidth="1"/>
    <col min="5647" max="5647" width="11.28515625" customWidth="1"/>
    <col min="5889" max="5889" width="4.28515625" customWidth="1"/>
    <col min="5890" max="5890" width="26.28515625" customWidth="1"/>
    <col min="5892" max="5892" width="17.42578125" customWidth="1"/>
    <col min="5893" max="5893" width="16.5703125" customWidth="1"/>
    <col min="5894" max="5899" width="0" hidden="1" customWidth="1"/>
    <col min="5900" max="5900" width="12" customWidth="1"/>
    <col min="5901" max="5901" width="0" hidden="1" customWidth="1"/>
    <col min="5902" max="5902" width="11.85546875" customWidth="1"/>
    <col min="5903" max="5903" width="11.28515625" customWidth="1"/>
    <col min="6145" max="6145" width="4.28515625" customWidth="1"/>
    <col min="6146" max="6146" width="26.28515625" customWidth="1"/>
    <col min="6148" max="6148" width="17.42578125" customWidth="1"/>
    <col min="6149" max="6149" width="16.5703125" customWidth="1"/>
    <col min="6150" max="6155" width="0" hidden="1" customWidth="1"/>
    <col min="6156" max="6156" width="12" customWidth="1"/>
    <col min="6157" max="6157" width="0" hidden="1" customWidth="1"/>
    <col min="6158" max="6158" width="11.85546875" customWidth="1"/>
    <col min="6159" max="6159" width="11.28515625" customWidth="1"/>
    <col min="6401" max="6401" width="4.28515625" customWidth="1"/>
    <col min="6402" max="6402" width="26.28515625" customWidth="1"/>
    <col min="6404" max="6404" width="17.42578125" customWidth="1"/>
    <col min="6405" max="6405" width="16.5703125" customWidth="1"/>
    <col min="6406" max="6411" width="0" hidden="1" customWidth="1"/>
    <col min="6412" max="6412" width="12" customWidth="1"/>
    <col min="6413" max="6413" width="0" hidden="1" customWidth="1"/>
    <col min="6414" max="6414" width="11.85546875" customWidth="1"/>
    <col min="6415" max="6415" width="11.28515625" customWidth="1"/>
    <col min="6657" max="6657" width="4.28515625" customWidth="1"/>
    <col min="6658" max="6658" width="26.28515625" customWidth="1"/>
    <col min="6660" max="6660" width="17.42578125" customWidth="1"/>
    <col min="6661" max="6661" width="16.5703125" customWidth="1"/>
    <col min="6662" max="6667" width="0" hidden="1" customWidth="1"/>
    <col min="6668" max="6668" width="12" customWidth="1"/>
    <col min="6669" max="6669" width="0" hidden="1" customWidth="1"/>
    <col min="6670" max="6670" width="11.85546875" customWidth="1"/>
    <col min="6671" max="6671" width="11.28515625" customWidth="1"/>
    <col min="6913" max="6913" width="4.28515625" customWidth="1"/>
    <col min="6914" max="6914" width="26.28515625" customWidth="1"/>
    <col min="6916" max="6916" width="17.42578125" customWidth="1"/>
    <col min="6917" max="6917" width="16.5703125" customWidth="1"/>
    <col min="6918" max="6923" width="0" hidden="1" customWidth="1"/>
    <col min="6924" max="6924" width="12" customWidth="1"/>
    <col min="6925" max="6925" width="0" hidden="1" customWidth="1"/>
    <col min="6926" max="6926" width="11.85546875" customWidth="1"/>
    <col min="6927" max="6927" width="11.28515625" customWidth="1"/>
    <col min="7169" max="7169" width="4.28515625" customWidth="1"/>
    <col min="7170" max="7170" width="26.28515625" customWidth="1"/>
    <col min="7172" max="7172" width="17.42578125" customWidth="1"/>
    <col min="7173" max="7173" width="16.5703125" customWidth="1"/>
    <col min="7174" max="7179" width="0" hidden="1" customWidth="1"/>
    <col min="7180" max="7180" width="12" customWidth="1"/>
    <col min="7181" max="7181" width="0" hidden="1" customWidth="1"/>
    <col min="7182" max="7182" width="11.85546875" customWidth="1"/>
    <col min="7183" max="7183" width="11.28515625" customWidth="1"/>
    <col min="7425" max="7425" width="4.28515625" customWidth="1"/>
    <col min="7426" max="7426" width="26.28515625" customWidth="1"/>
    <col min="7428" max="7428" width="17.42578125" customWidth="1"/>
    <col min="7429" max="7429" width="16.5703125" customWidth="1"/>
    <col min="7430" max="7435" width="0" hidden="1" customWidth="1"/>
    <col min="7436" max="7436" width="12" customWidth="1"/>
    <col min="7437" max="7437" width="0" hidden="1" customWidth="1"/>
    <col min="7438" max="7438" width="11.85546875" customWidth="1"/>
    <col min="7439" max="7439" width="11.28515625" customWidth="1"/>
    <col min="7681" max="7681" width="4.28515625" customWidth="1"/>
    <col min="7682" max="7682" width="26.28515625" customWidth="1"/>
    <col min="7684" max="7684" width="17.42578125" customWidth="1"/>
    <col min="7685" max="7685" width="16.5703125" customWidth="1"/>
    <col min="7686" max="7691" width="0" hidden="1" customWidth="1"/>
    <col min="7692" max="7692" width="12" customWidth="1"/>
    <col min="7693" max="7693" width="0" hidden="1" customWidth="1"/>
    <col min="7694" max="7694" width="11.85546875" customWidth="1"/>
    <col min="7695" max="7695" width="11.28515625" customWidth="1"/>
    <col min="7937" max="7937" width="4.28515625" customWidth="1"/>
    <col min="7938" max="7938" width="26.28515625" customWidth="1"/>
    <col min="7940" max="7940" width="17.42578125" customWidth="1"/>
    <col min="7941" max="7941" width="16.5703125" customWidth="1"/>
    <col min="7942" max="7947" width="0" hidden="1" customWidth="1"/>
    <col min="7948" max="7948" width="12" customWidth="1"/>
    <col min="7949" max="7949" width="0" hidden="1" customWidth="1"/>
    <col min="7950" max="7950" width="11.85546875" customWidth="1"/>
    <col min="7951" max="7951" width="11.28515625" customWidth="1"/>
    <col min="8193" max="8193" width="4.28515625" customWidth="1"/>
    <col min="8194" max="8194" width="26.28515625" customWidth="1"/>
    <col min="8196" max="8196" width="17.42578125" customWidth="1"/>
    <col min="8197" max="8197" width="16.5703125" customWidth="1"/>
    <col min="8198" max="8203" width="0" hidden="1" customWidth="1"/>
    <col min="8204" max="8204" width="12" customWidth="1"/>
    <col min="8205" max="8205" width="0" hidden="1" customWidth="1"/>
    <col min="8206" max="8206" width="11.85546875" customWidth="1"/>
    <col min="8207" max="8207" width="11.28515625" customWidth="1"/>
    <col min="8449" max="8449" width="4.28515625" customWidth="1"/>
    <col min="8450" max="8450" width="26.28515625" customWidth="1"/>
    <col min="8452" max="8452" width="17.42578125" customWidth="1"/>
    <col min="8453" max="8453" width="16.5703125" customWidth="1"/>
    <col min="8454" max="8459" width="0" hidden="1" customWidth="1"/>
    <col min="8460" max="8460" width="12" customWidth="1"/>
    <col min="8461" max="8461" width="0" hidden="1" customWidth="1"/>
    <col min="8462" max="8462" width="11.85546875" customWidth="1"/>
    <col min="8463" max="8463" width="11.28515625" customWidth="1"/>
    <col min="8705" max="8705" width="4.28515625" customWidth="1"/>
    <col min="8706" max="8706" width="26.28515625" customWidth="1"/>
    <col min="8708" max="8708" width="17.42578125" customWidth="1"/>
    <col min="8709" max="8709" width="16.5703125" customWidth="1"/>
    <col min="8710" max="8715" width="0" hidden="1" customWidth="1"/>
    <col min="8716" max="8716" width="12" customWidth="1"/>
    <col min="8717" max="8717" width="0" hidden="1" customWidth="1"/>
    <col min="8718" max="8718" width="11.85546875" customWidth="1"/>
    <col min="8719" max="8719" width="11.28515625" customWidth="1"/>
    <col min="8961" max="8961" width="4.28515625" customWidth="1"/>
    <col min="8962" max="8962" width="26.28515625" customWidth="1"/>
    <col min="8964" max="8964" width="17.42578125" customWidth="1"/>
    <col min="8965" max="8965" width="16.5703125" customWidth="1"/>
    <col min="8966" max="8971" width="0" hidden="1" customWidth="1"/>
    <col min="8972" max="8972" width="12" customWidth="1"/>
    <col min="8973" max="8973" width="0" hidden="1" customWidth="1"/>
    <col min="8974" max="8974" width="11.85546875" customWidth="1"/>
    <col min="8975" max="8975" width="11.28515625" customWidth="1"/>
    <col min="9217" max="9217" width="4.28515625" customWidth="1"/>
    <col min="9218" max="9218" width="26.28515625" customWidth="1"/>
    <col min="9220" max="9220" width="17.42578125" customWidth="1"/>
    <col min="9221" max="9221" width="16.5703125" customWidth="1"/>
    <col min="9222" max="9227" width="0" hidden="1" customWidth="1"/>
    <col min="9228" max="9228" width="12" customWidth="1"/>
    <col min="9229" max="9229" width="0" hidden="1" customWidth="1"/>
    <col min="9230" max="9230" width="11.85546875" customWidth="1"/>
    <col min="9231" max="9231" width="11.28515625" customWidth="1"/>
    <col min="9473" max="9473" width="4.28515625" customWidth="1"/>
    <col min="9474" max="9474" width="26.28515625" customWidth="1"/>
    <col min="9476" max="9476" width="17.42578125" customWidth="1"/>
    <col min="9477" max="9477" width="16.5703125" customWidth="1"/>
    <col min="9478" max="9483" width="0" hidden="1" customWidth="1"/>
    <col min="9484" max="9484" width="12" customWidth="1"/>
    <col min="9485" max="9485" width="0" hidden="1" customWidth="1"/>
    <col min="9486" max="9486" width="11.85546875" customWidth="1"/>
    <col min="9487" max="9487" width="11.28515625" customWidth="1"/>
    <col min="9729" max="9729" width="4.28515625" customWidth="1"/>
    <col min="9730" max="9730" width="26.28515625" customWidth="1"/>
    <col min="9732" max="9732" width="17.42578125" customWidth="1"/>
    <col min="9733" max="9733" width="16.5703125" customWidth="1"/>
    <col min="9734" max="9739" width="0" hidden="1" customWidth="1"/>
    <col min="9740" max="9740" width="12" customWidth="1"/>
    <col min="9741" max="9741" width="0" hidden="1" customWidth="1"/>
    <col min="9742" max="9742" width="11.85546875" customWidth="1"/>
    <col min="9743" max="9743" width="11.28515625" customWidth="1"/>
    <col min="9985" max="9985" width="4.28515625" customWidth="1"/>
    <col min="9986" max="9986" width="26.28515625" customWidth="1"/>
    <col min="9988" max="9988" width="17.42578125" customWidth="1"/>
    <col min="9989" max="9989" width="16.5703125" customWidth="1"/>
    <col min="9990" max="9995" width="0" hidden="1" customWidth="1"/>
    <col min="9996" max="9996" width="12" customWidth="1"/>
    <col min="9997" max="9997" width="0" hidden="1" customWidth="1"/>
    <col min="9998" max="9998" width="11.85546875" customWidth="1"/>
    <col min="9999" max="9999" width="11.28515625" customWidth="1"/>
    <col min="10241" max="10241" width="4.28515625" customWidth="1"/>
    <col min="10242" max="10242" width="26.28515625" customWidth="1"/>
    <col min="10244" max="10244" width="17.42578125" customWidth="1"/>
    <col min="10245" max="10245" width="16.5703125" customWidth="1"/>
    <col min="10246" max="10251" width="0" hidden="1" customWidth="1"/>
    <col min="10252" max="10252" width="12" customWidth="1"/>
    <col min="10253" max="10253" width="0" hidden="1" customWidth="1"/>
    <col min="10254" max="10254" width="11.85546875" customWidth="1"/>
    <col min="10255" max="10255" width="11.28515625" customWidth="1"/>
    <col min="10497" max="10497" width="4.28515625" customWidth="1"/>
    <col min="10498" max="10498" width="26.28515625" customWidth="1"/>
    <col min="10500" max="10500" width="17.42578125" customWidth="1"/>
    <col min="10501" max="10501" width="16.5703125" customWidth="1"/>
    <col min="10502" max="10507" width="0" hidden="1" customWidth="1"/>
    <col min="10508" max="10508" width="12" customWidth="1"/>
    <col min="10509" max="10509" width="0" hidden="1" customWidth="1"/>
    <col min="10510" max="10510" width="11.85546875" customWidth="1"/>
    <col min="10511" max="10511" width="11.28515625" customWidth="1"/>
    <col min="10753" max="10753" width="4.28515625" customWidth="1"/>
    <col min="10754" max="10754" width="26.28515625" customWidth="1"/>
    <col min="10756" max="10756" width="17.42578125" customWidth="1"/>
    <col min="10757" max="10757" width="16.5703125" customWidth="1"/>
    <col min="10758" max="10763" width="0" hidden="1" customWidth="1"/>
    <col min="10764" max="10764" width="12" customWidth="1"/>
    <col min="10765" max="10765" width="0" hidden="1" customWidth="1"/>
    <col min="10766" max="10766" width="11.85546875" customWidth="1"/>
    <col min="10767" max="10767" width="11.28515625" customWidth="1"/>
    <col min="11009" max="11009" width="4.28515625" customWidth="1"/>
    <col min="11010" max="11010" width="26.28515625" customWidth="1"/>
    <col min="11012" max="11012" width="17.42578125" customWidth="1"/>
    <col min="11013" max="11013" width="16.5703125" customWidth="1"/>
    <col min="11014" max="11019" width="0" hidden="1" customWidth="1"/>
    <col min="11020" max="11020" width="12" customWidth="1"/>
    <col min="11021" max="11021" width="0" hidden="1" customWidth="1"/>
    <col min="11022" max="11022" width="11.85546875" customWidth="1"/>
    <col min="11023" max="11023" width="11.28515625" customWidth="1"/>
    <col min="11265" max="11265" width="4.28515625" customWidth="1"/>
    <col min="11266" max="11266" width="26.28515625" customWidth="1"/>
    <col min="11268" max="11268" width="17.42578125" customWidth="1"/>
    <col min="11269" max="11269" width="16.5703125" customWidth="1"/>
    <col min="11270" max="11275" width="0" hidden="1" customWidth="1"/>
    <col min="11276" max="11276" width="12" customWidth="1"/>
    <col min="11277" max="11277" width="0" hidden="1" customWidth="1"/>
    <col min="11278" max="11278" width="11.85546875" customWidth="1"/>
    <col min="11279" max="11279" width="11.28515625" customWidth="1"/>
    <col min="11521" max="11521" width="4.28515625" customWidth="1"/>
    <col min="11522" max="11522" width="26.28515625" customWidth="1"/>
    <col min="11524" max="11524" width="17.42578125" customWidth="1"/>
    <col min="11525" max="11525" width="16.5703125" customWidth="1"/>
    <col min="11526" max="11531" width="0" hidden="1" customWidth="1"/>
    <col min="11532" max="11532" width="12" customWidth="1"/>
    <col min="11533" max="11533" width="0" hidden="1" customWidth="1"/>
    <col min="11534" max="11534" width="11.85546875" customWidth="1"/>
    <col min="11535" max="11535" width="11.28515625" customWidth="1"/>
    <col min="11777" max="11777" width="4.28515625" customWidth="1"/>
    <col min="11778" max="11778" width="26.28515625" customWidth="1"/>
    <col min="11780" max="11780" width="17.42578125" customWidth="1"/>
    <col min="11781" max="11781" width="16.5703125" customWidth="1"/>
    <col min="11782" max="11787" width="0" hidden="1" customWidth="1"/>
    <col min="11788" max="11788" width="12" customWidth="1"/>
    <col min="11789" max="11789" width="0" hidden="1" customWidth="1"/>
    <col min="11790" max="11790" width="11.85546875" customWidth="1"/>
    <col min="11791" max="11791" width="11.28515625" customWidth="1"/>
    <col min="12033" max="12033" width="4.28515625" customWidth="1"/>
    <col min="12034" max="12034" width="26.28515625" customWidth="1"/>
    <col min="12036" max="12036" width="17.42578125" customWidth="1"/>
    <col min="12037" max="12037" width="16.5703125" customWidth="1"/>
    <col min="12038" max="12043" width="0" hidden="1" customWidth="1"/>
    <col min="12044" max="12044" width="12" customWidth="1"/>
    <col min="12045" max="12045" width="0" hidden="1" customWidth="1"/>
    <col min="12046" max="12046" width="11.85546875" customWidth="1"/>
    <col min="12047" max="12047" width="11.28515625" customWidth="1"/>
    <col min="12289" max="12289" width="4.28515625" customWidth="1"/>
    <col min="12290" max="12290" width="26.28515625" customWidth="1"/>
    <col min="12292" max="12292" width="17.42578125" customWidth="1"/>
    <col min="12293" max="12293" width="16.5703125" customWidth="1"/>
    <col min="12294" max="12299" width="0" hidden="1" customWidth="1"/>
    <col min="12300" max="12300" width="12" customWidth="1"/>
    <col min="12301" max="12301" width="0" hidden="1" customWidth="1"/>
    <col min="12302" max="12302" width="11.85546875" customWidth="1"/>
    <col min="12303" max="12303" width="11.28515625" customWidth="1"/>
    <col min="12545" max="12545" width="4.28515625" customWidth="1"/>
    <col min="12546" max="12546" width="26.28515625" customWidth="1"/>
    <col min="12548" max="12548" width="17.42578125" customWidth="1"/>
    <col min="12549" max="12549" width="16.5703125" customWidth="1"/>
    <col min="12550" max="12555" width="0" hidden="1" customWidth="1"/>
    <col min="12556" max="12556" width="12" customWidth="1"/>
    <col min="12557" max="12557" width="0" hidden="1" customWidth="1"/>
    <col min="12558" max="12558" width="11.85546875" customWidth="1"/>
    <col min="12559" max="12559" width="11.28515625" customWidth="1"/>
    <col min="12801" max="12801" width="4.28515625" customWidth="1"/>
    <col min="12802" max="12802" width="26.28515625" customWidth="1"/>
    <col min="12804" max="12804" width="17.42578125" customWidth="1"/>
    <col min="12805" max="12805" width="16.5703125" customWidth="1"/>
    <col min="12806" max="12811" width="0" hidden="1" customWidth="1"/>
    <col min="12812" max="12812" width="12" customWidth="1"/>
    <col min="12813" max="12813" width="0" hidden="1" customWidth="1"/>
    <col min="12814" max="12814" width="11.85546875" customWidth="1"/>
    <col min="12815" max="12815" width="11.28515625" customWidth="1"/>
    <col min="13057" max="13057" width="4.28515625" customWidth="1"/>
    <col min="13058" max="13058" width="26.28515625" customWidth="1"/>
    <col min="13060" max="13060" width="17.42578125" customWidth="1"/>
    <col min="13061" max="13061" width="16.5703125" customWidth="1"/>
    <col min="13062" max="13067" width="0" hidden="1" customWidth="1"/>
    <col min="13068" max="13068" width="12" customWidth="1"/>
    <col min="13069" max="13069" width="0" hidden="1" customWidth="1"/>
    <col min="13070" max="13070" width="11.85546875" customWidth="1"/>
    <col min="13071" max="13071" width="11.28515625" customWidth="1"/>
    <col min="13313" max="13313" width="4.28515625" customWidth="1"/>
    <col min="13314" max="13314" width="26.28515625" customWidth="1"/>
    <col min="13316" max="13316" width="17.42578125" customWidth="1"/>
    <col min="13317" max="13317" width="16.5703125" customWidth="1"/>
    <col min="13318" max="13323" width="0" hidden="1" customWidth="1"/>
    <col min="13324" max="13324" width="12" customWidth="1"/>
    <col min="13325" max="13325" width="0" hidden="1" customWidth="1"/>
    <col min="13326" max="13326" width="11.85546875" customWidth="1"/>
    <col min="13327" max="13327" width="11.28515625" customWidth="1"/>
    <col min="13569" max="13569" width="4.28515625" customWidth="1"/>
    <col min="13570" max="13570" width="26.28515625" customWidth="1"/>
    <col min="13572" max="13572" width="17.42578125" customWidth="1"/>
    <col min="13573" max="13573" width="16.5703125" customWidth="1"/>
    <col min="13574" max="13579" width="0" hidden="1" customWidth="1"/>
    <col min="13580" max="13580" width="12" customWidth="1"/>
    <col min="13581" max="13581" width="0" hidden="1" customWidth="1"/>
    <col min="13582" max="13582" width="11.85546875" customWidth="1"/>
    <col min="13583" max="13583" width="11.28515625" customWidth="1"/>
    <col min="13825" max="13825" width="4.28515625" customWidth="1"/>
    <col min="13826" max="13826" width="26.28515625" customWidth="1"/>
    <col min="13828" max="13828" width="17.42578125" customWidth="1"/>
    <col min="13829" max="13829" width="16.5703125" customWidth="1"/>
    <col min="13830" max="13835" width="0" hidden="1" customWidth="1"/>
    <col min="13836" max="13836" width="12" customWidth="1"/>
    <col min="13837" max="13837" width="0" hidden="1" customWidth="1"/>
    <col min="13838" max="13838" width="11.85546875" customWidth="1"/>
    <col min="13839" max="13839" width="11.28515625" customWidth="1"/>
    <col min="14081" max="14081" width="4.28515625" customWidth="1"/>
    <col min="14082" max="14082" width="26.28515625" customWidth="1"/>
    <col min="14084" max="14084" width="17.42578125" customWidth="1"/>
    <col min="14085" max="14085" width="16.5703125" customWidth="1"/>
    <col min="14086" max="14091" width="0" hidden="1" customWidth="1"/>
    <col min="14092" max="14092" width="12" customWidth="1"/>
    <col min="14093" max="14093" width="0" hidden="1" customWidth="1"/>
    <col min="14094" max="14094" width="11.85546875" customWidth="1"/>
    <col min="14095" max="14095" width="11.28515625" customWidth="1"/>
    <col min="14337" max="14337" width="4.28515625" customWidth="1"/>
    <col min="14338" max="14338" width="26.28515625" customWidth="1"/>
    <col min="14340" max="14340" width="17.42578125" customWidth="1"/>
    <col min="14341" max="14341" width="16.5703125" customWidth="1"/>
    <col min="14342" max="14347" width="0" hidden="1" customWidth="1"/>
    <col min="14348" max="14348" width="12" customWidth="1"/>
    <col min="14349" max="14349" width="0" hidden="1" customWidth="1"/>
    <col min="14350" max="14350" width="11.85546875" customWidth="1"/>
    <col min="14351" max="14351" width="11.28515625" customWidth="1"/>
    <col min="14593" max="14593" width="4.28515625" customWidth="1"/>
    <col min="14594" max="14594" width="26.28515625" customWidth="1"/>
    <col min="14596" max="14596" width="17.42578125" customWidth="1"/>
    <col min="14597" max="14597" width="16.5703125" customWidth="1"/>
    <col min="14598" max="14603" width="0" hidden="1" customWidth="1"/>
    <col min="14604" max="14604" width="12" customWidth="1"/>
    <col min="14605" max="14605" width="0" hidden="1" customWidth="1"/>
    <col min="14606" max="14606" width="11.85546875" customWidth="1"/>
    <col min="14607" max="14607" width="11.28515625" customWidth="1"/>
    <col min="14849" max="14849" width="4.28515625" customWidth="1"/>
    <col min="14850" max="14850" width="26.28515625" customWidth="1"/>
    <col min="14852" max="14852" width="17.42578125" customWidth="1"/>
    <col min="14853" max="14853" width="16.5703125" customWidth="1"/>
    <col min="14854" max="14859" width="0" hidden="1" customWidth="1"/>
    <col min="14860" max="14860" width="12" customWidth="1"/>
    <col min="14861" max="14861" width="0" hidden="1" customWidth="1"/>
    <col min="14862" max="14862" width="11.85546875" customWidth="1"/>
    <col min="14863" max="14863" width="11.28515625" customWidth="1"/>
    <col min="15105" max="15105" width="4.28515625" customWidth="1"/>
    <col min="15106" max="15106" width="26.28515625" customWidth="1"/>
    <col min="15108" max="15108" width="17.42578125" customWidth="1"/>
    <col min="15109" max="15109" width="16.5703125" customWidth="1"/>
    <col min="15110" max="15115" width="0" hidden="1" customWidth="1"/>
    <col min="15116" max="15116" width="12" customWidth="1"/>
    <col min="15117" max="15117" width="0" hidden="1" customWidth="1"/>
    <col min="15118" max="15118" width="11.85546875" customWidth="1"/>
    <col min="15119" max="15119" width="11.28515625" customWidth="1"/>
    <col min="15361" max="15361" width="4.28515625" customWidth="1"/>
    <col min="15362" max="15362" width="26.28515625" customWidth="1"/>
    <col min="15364" max="15364" width="17.42578125" customWidth="1"/>
    <col min="15365" max="15365" width="16.5703125" customWidth="1"/>
    <col min="15366" max="15371" width="0" hidden="1" customWidth="1"/>
    <col min="15372" max="15372" width="12" customWidth="1"/>
    <col min="15373" max="15373" width="0" hidden="1" customWidth="1"/>
    <col min="15374" max="15374" width="11.85546875" customWidth="1"/>
    <col min="15375" max="15375" width="11.28515625" customWidth="1"/>
    <col min="15617" max="15617" width="4.28515625" customWidth="1"/>
    <col min="15618" max="15618" width="26.28515625" customWidth="1"/>
    <col min="15620" max="15620" width="17.42578125" customWidth="1"/>
    <col min="15621" max="15621" width="16.5703125" customWidth="1"/>
    <col min="15622" max="15627" width="0" hidden="1" customWidth="1"/>
    <col min="15628" max="15628" width="12" customWidth="1"/>
    <col min="15629" max="15629" width="0" hidden="1" customWidth="1"/>
    <col min="15630" max="15630" width="11.85546875" customWidth="1"/>
    <col min="15631" max="15631" width="11.28515625" customWidth="1"/>
    <col min="15873" max="15873" width="4.28515625" customWidth="1"/>
    <col min="15874" max="15874" width="26.28515625" customWidth="1"/>
    <col min="15876" max="15876" width="17.42578125" customWidth="1"/>
    <col min="15877" max="15877" width="16.5703125" customWidth="1"/>
    <col min="15878" max="15883" width="0" hidden="1" customWidth="1"/>
    <col min="15884" max="15884" width="12" customWidth="1"/>
    <col min="15885" max="15885" width="0" hidden="1" customWidth="1"/>
    <col min="15886" max="15886" width="11.85546875" customWidth="1"/>
    <col min="15887" max="15887" width="11.28515625" customWidth="1"/>
    <col min="16129" max="16129" width="4.28515625" customWidth="1"/>
    <col min="16130" max="16130" width="26.28515625" customWidth="1"/>
    <col min="16132" max="16132" width="17.42578125" customWidth="1"/>
    <col min="16133" max="16133" width="16.5703125" customWidth="1"/>
    <col min="16134" max="16139" width="0" hidden="1" customWidth="1"/>
    <col min="16140" max="16140" width="12" customWidth="1"/>
    <col min="16141" max="16141" width="0" hidden="1" customWidth="1"/>
    <col min="16142" max="16142" width="11.85546875" customWidth="1"/>
    <col min="16143" max="16143" width="11.28515625" customWidth="1"/>
  </cols>
  <sheetData>
    <row r="1" spans="1:15" ht="14.25" hidden="1" customHeight="1" x14ac:dyDescent="0.2"/>
    <row r="2" spans="1:15" ht="14.25" hidden="1" customHeight="1" x14ac:dyDescent="0.2"/>
    <row r="3" spans="1:15" ht="14.25" x14ac:dyDescent="0.2">
      <c r="D3" s="97" t="s">
        <v>315</v>
      </c>
      <c r="E3" s="520" t="s">
        <v>316</v>
      </c>
      <c r="F3" s="520"/>
      <c r="G3" s="520"/>
      <c r="H3" s="520"/>
      <c r="I3" s="520"/>
    </row>
    <row r="4" spans="1:15" ht="15" x14ac:dyDescent="0.2">
      <c r="B4" s="132"/>
      <c r="D4" s="519" t="s">
        <v>317</v>
      </c>
      <c r="E4" s="519"/>
      <c r="F4" s="519"/>
      <c r="G4" s="519"/>
      <c r="H4" s="519"/>
      <c r="I4" s="519"/>
    </row>
    <row r="5" spans="1:15" ht="15" x14ac:dyDescent="0.2">
      <c r="D5" s="519" t="s">
        <v>221</v>
      </c>
      <c r="E5" s="519"/>
      <c r="F5" s="519"/>
      <c r="G5" s="519"/>
      <c r="H5" s="519"/>
      <c r="I5" s="519"/>
    </row>
    <row r="6" spans="1:15" ht="16.5" customHeight="1" x14ac:dyDescent="0.2">
      <c r="D6" s="519" t="s">
        <v>523</v>
      </c>
      <c r="E6" s="519"/>
      <c r="F6" s="519"/>
      <c r="G6" s="519"/>
      <c r="H6" s="519"/>
      <c r="I6" s="519"/>
    </row>
    <row r="7" spans="1:15" ht="18" customHeight="1" x14ac:dyDescent="0.2">
      <c r="A7" s="529" t="s">
        <v>337</v>
      </c>
      <c r="B7" s="554"/>
      <c r="C7" s="554"/>
      <c r="D7" s="554"/>
      <c r="E7" s="554"/>
      <c r="F7" s="554"/>
      <c r="G7" s="554"/>
      <c r="H7" s="554"/>
      <c r="I7" s="554"/>
      <c r="J7" s="554"/>
      <c r="K7" s="554"/>
      <c r="L7" s="554"/>
      <c r="M7" s="554"/>
      <c r="N7" s="554"/>
      <c r="O7" s="554"/>
    </row>
    <row r="8" spans="1:15" ht="20.25" customHeight="1" x14ac:dyDescent="0.2">
      <c r="A8" s="554"/>
      <c r="B8" s="554"/>
      <c r="C8" s="554"/>
      <c r="D8" s="554"/>
      <c r="E8" s="554"/>
      <c r="F8" s="554"/>
      <c r="G8" s="554"/>
      <c r="H8" s="554"/>
      <c r="I8" s="554"/>
      <c r="J8" s="554"/>
      <c r="K8" s="554"/>
      <c r="L8" s="554"/>
      <c r="M8" s="554"/>
      <c r="N8" s="554"/>
      <c r="O8" s="554"/>
    </row>
    <row r="9" spans="1:15" ht="20.25" customHeight="1" x14ac:dyDescent="0.2">
      <c r="A9" s="554"/>
      <c r="B9" s="554"/>
      <c r="C9" s="554"/>
      <c r="D9" s="554"/>
      <c r="E9" s="554"/>
      <c r="F9" s="554"/>
      <c r="G9" s="554"/>
      <c r="H9" s="554"/>
      <c r="I9" s="554"/>
      <c r="J9" s="554"/>
      <c r="K9" s="554"/>
      <c r="L9" s="554"/>
      <c r="M9" s="554"/>
      <c r="N9" s="554"/>
      <c r="O9" s="554"/>
    </row>
    <row r="10" spans="1:15" ht="13.5" thickBot="1" x14ac:dyDescent="0.25"/>
    <row r="11" spans="1:15" ht="13.5" hidden="1" thickBot="1" x14ac:dyDescent="0.25"/>
    <row r="12" spans="1:15" s="193" customFormat="1" ht="142.5" x14ac:dyDescent="0.2">
      <c r="A12" s="187" t="s">
        <v>314</v>
      </c>
      <c r="B12" s="188" t="s">
        <v>318</v>
      </c>
      <c r="C12" s="189" t="s">
        <v>319</v>
      </c>
      <c r="D12" s="188" t="s">
        <v>320</v>
      </c>
      <c r="E12" s="188" t="s">
        <v>321</v>
      </c>
      <c r="F12" s="188" t="s">
        <v>322</v>
      </c>
      <c r="G12" s="188" t="s">
        <v>323</v>
      </c>
      <c r="H12" s="188" t="s">
        <v>324</v>
      </c>
      <c r="I12" s="188" t="s">
        <v>325</v>
      </c>
      <c r="J12" s="190" t="s">
        <v>326</v>
      </c>
      <c r="K12" s="191"/>
      <c r="L12" s="188" t="s">
        <v>524</v>
      </c>
      <c r="M12" s="192"/>
      <c r="N12" s="188" t="s">
        <v>525</v>
      </c>
      <c r="O12" s="188" t="s">
        <v>526</v>
      </c>
    </row>
    <row r="13" spans="1:15" s="77" customFormat="1" ht="180" x14ac:dyDescent="0.2">
      <c r="A13" s="134"/>
      <c r="B13" s="135" t="s">
        <v>327</v>
      </c>
      <c r="C13" s="136"/>
      <c r="D13" s="135" t="s">
        <v>340</v>
      </c>
      <c r="E13" s="137" t="s">
        <v>328</v>
      </c>
      <c r="F13" s="138"/>
      <c r="G13" s="138"/>
      <c r="H13" s="138"/>
      <c r="I13" s="138"/>
      <c r="J13" s="139"/>
      <c r="K13" s="140"/>
      <c r="L13" s="141">
        <f>'ПРИЛОЖЕНИЕ 6.1.'!F60</f>
        <v>69887.842590000015</v>
      </c>
      <c r="M13" s="141">
        <f t="shared" ref="M13" si="0">SUM(M14:N20)</f>
        <v>35254.642</v>
      </c>
      <c r="N13" s="141">
        <f>'ПРИЛОЖЕНИЕ 6.1.'!G60</f>
        <v>35054.642</v>
      </c>
      <c r="O13" s="141">
        <f>'ПРИЛОЖЕНИЕ 6.1.'!H60</f>
        <v>31334.579999999998</v>
      </c>
    </row>
    <row r="14" spans="1:15" ht="90" x14ac:dyDescent="0.2">
      <c r="A14" s="142">
        <v>1</v>
      </c>
      <c r="B14" s="91" t="s">
        <v>329</v>
      </c>
      <c r="C14" s="143" t="s">
        <v>239</v>
      </c>
      <c r="D14" s="144" t="s">
        <v>340</v>
      </c>
      <c r="E14" s="144" t="s">
        <v>328</v>
      </c>
      <c r="F14" s="145"/>
      <c r="G14" s="145"/>
      <c r="H14" s="145"/>
      <c r="I14" s="145"/>
      <c r="J14" s="146"/>
      <c r="K14" s="147"/>
      <c r="L14" s="141">
        <f>'ПРИЛОЖЕНИЕ 6.1.'!F61</f>
        <v>1111.9100000000001</v>
      </c>
      <c r="M14" s="141"/>
      <c r="N14" s="141">
        <f>'ПРИЛОЖЕНИЕ 6.1.'!G61</f>
        <v>305</v>
      </c>
      <c r="O14" s="141">
        <f>'ПРИЛОЖЕНИЕ 6.1.'!H61</f>
        <v>305</v>
      </c>
    </row>
    <row r="15" spans="1:15" ht="90" x14ac:dyDescent="0.2">
      <c r="A15" s="142">
        <v>2</v>
      </c>
      <c r="B15" s="91" t="s">
        <v>330</v>
      </c>
      <c r="C15" s="143" t="s">
        <v>48</v>
      </c>
      <c r="D15" s="144" t="s">
        <v>340</v>
      </c>
      <c r="E15" s="144" t="s">
        <v>328</v>
      </c>
      <c r="F15" s="145"/>
      <c r="G15" s="145"/>
      <c r="H15" s="145"/>
      <c r="I15" s="145"/>
      <c r="J15" s="146"/>
      <c r="K15" s="147"/>
      <c r="L15" s="141">
        <f>'ПРИЛОЖЕНИЕ 6.1.'!F66</f>
        <v>8.6</v>
      </c>
      <c r="M15" s="141"/>
      <c r="N15" s="141">
        <f>'ПРИЛОЖЕНИЕ 6.1.'!G66</f>
        <v>270</v>
      </c>
      <c r="O15" s="141">
        <f>'ПРИЛОЖЕНИЕ 6.1.'!H66</f>
        <v>270</v>
      </c>
    </row>
    <row r="16" spans="1:15" s="152" customFormat="1" ht="135" x14ac:dyDescent="0.25">
      <c r="A16" s="142">
        <v>3</v>
      </c>
      <c r="B16" s="148" t="s">
        <v>331</v>
      </c>
      <c r="C16" s="143" t="s">
        <v>339</v>
      </c>
      <c r="D16" s="149" t="s">
        <v>340</v>
      </c>
      <c r="E16" s="144" t="s">
        <v>328</v>
      </c>
      <c r="F16" s="145" t="e">
        <f>#REF!+#REF!</f>
        <v>#REF!</v>
      </c>
      <c r="G16" s="145" t="e">
        <f>#REF!+#REF!</f>
        <v>#REF!</v>
      </c>
      <c r="H16" s="145" t="e">
        <f>#REF!+#REF!</f>
        <v>#REF!</v>
      </c>
      <c r="I16" s="150" t="e">
        <f>#REF!+#REF!</f>
        <v>#REF!</v>
      </c>
      <c r="J16" s="145" t="e">
        <f>#REF!+#REF!</f>
        <v>#REF!</v>
      </c>
      <c r="K16" s="151"/>
      <c r="L16" s="141">
        <f>'ПРИЛОЖЕНИЕ 6.1.'!F70</f>
        <v>56198.985620000014</v>
      </c>
      <c r="M16" s="141"/>
      <c r="N16" s="141">
        <f>'ПРИЛОЖЕНИЕ 6.1.'!G70</f>
        <v>26039.002</v>
      </c>
      <c r="O16" s="141">
        <f>'ПРИЛОЖЕНИЕ 6.1.'!H70</f>
        <v>22016.399999999998</v>
      </c>
    </row>
    <row r="17" spans="1:15" ht="120" x14ac:dyDescent="0.25">
      <c r="A17" s="142">
        <v>4</v>
      </c>
      <c r="B17" s="91" t="s">
        <v>332</v>
      </c>
      <c r="C17" s="143" t="s">
        <v>333</v>
      </c>
      <c r="D17" s="149" t="s">
        <v>340</v>
      </c>
      <c r="E17" s="144" t="s">
        <v>334</v>
      </c>
      <c r="F17" s="153"/>
      <c r="G17" s="153"/>
      <c r="H17" s="153"/>
      <c r="I17" s="153"/>
      <c r="J17" s="147"/>
      <c r="K17" s="147"/>
      <c r="L17" s="134">
        <f>'ПРИЛОЖЕНИЕ 6.1.'!F106</f>
        <v>12116.99</v>
      </c>
      <c r="M17" s="154"/>
      <c r="N17" s="134">
        <f>'ПРИЛОЖЕНИЕ 6.1.'!G106</f>
        <v>7930.64</v>
      </c>
      <c r="O17" s="134">
        <f>'ПРИЛОЖЕНИЕ 6.1.'!H106</f>
        <v>8233.18</v>
      </c>
    </row>
    <row r="18" spans="1:15" ht="90" x14ac:dyDescent="0.25">
      <c r="A18" s="156">
        <v>5</v>
      </c>
      <c r="B18" s="157" t="s">
        <v>335</v>
      </c>
      <c r="C18" s="158" t="s">
        <v>78</v>
      </c>
      <c r="D18" s="157" t="s">
        <v>340</v>
      </c>
      <c r="E18" s="159" t="s">
        <v>328</v>
      </c>
      <c r="F18" s="92"/>
      <c r="G18" s="92"/>
      <c r="H18" s="92"/>
      <c r="I18" s="92"/>
      <c r="J18" s="147"/>
      <c r="K18" s="147"/>
      <c r="L18" s="160">
        <f>'ПРИЛОЖЕНИЕ 6.1.'!F133</f>
        <v>441.35697000000005</v>
      </c>
      <c r="M18" s="161"/>
      <c r="N18" s="160">
        <f>'ПРИЛОЖЕНИЕ 6.1.'!G133</f>
        <v>300</v>
      </c>
      <c r="O18" s="160">
        <f>'ПРИЛОЖЕНИЕ 6.1.'!H133</f>
        <v>300</v>
      </c>
    </row>
    <row r="19" spans="1:15" ht="90" x14ac:dyDescent="0.25">
      <c r="A19" s="155">
        <v>6</v>
      </c>
      <c r="B19" s="149" t="s">
        <v>336</v>
      </c>
      <c r="C19" s="103" t="s">
        <v>35</v>
      </c>
      <c r="D19" s="149" t="s">
        <v>340</v>
      </c>
      <c r="E19" s="144" t="s">
        <v>328</v>
      </c>
      <c r="F19" s="162"/>
      <c r="G19" s="162"/>
      <c r="H19" s="162"/>
      <c r="I19" s="162"/>
      <c r="J19" s="163"/>
      <c r="K19" s="163"/>
      <c r="L19" s="134">
        <f>'ПРИЛОЖЕНИЕ 6.1.'!F137</f>
        <v>0</v>
      </c>
      <c r="M19" s="134">
        <f>'ПРИЛОЖЕНИЕ 6.1.'!G137</f>
        <v>200</v>
      </c>
      <c r="N19" s="134">
        <f>'ПРИЛОЖЕНИЕ 6.1.'!G137</f>
        <v>200</v>
      </c>
      <c r="O19" s="134">
        <f>'ПРИЛОЖЕНИЕ 6.1.'!H137</f>
        <v>200</v>
      </c>
    </row>
    <row r="20" spans="1:15" ht="157.5" x14ac:dyDescent="0.2">
      <c r="A20" s="164">
        <v>7</v>
      </c>
      <c r="B20" s="165" t="s">
        <v>338</v>
      </c>
      <c r="C20" s="166" t="s">
        <v>49</v>
      </c>
      <c r="D20" s="129" t="s">
        <v>340</v>
      </c>
      <c r="E20" s="129" t="s">
        <v>328</v>
      </c>
      <c r="F20" s="99"/>
      <c r="G20" s="99"/>
      <c r="H20" s="99"/>
      <c r="I20" s="99"/>
      <c r="J20" s="167"/>
      <c r="K20" s="167"/>
      <c r="L20" s="168">
        <f>'ПРИЛОЖЕНИЕ 6.1.'!F139</f>
        <v>10</v>
      </c>
      <c r="M20" s="99"/>
      <c r="N20" s="168">
        <f>'ПРИЛОЖЕНИЕ 6.1.'!G139</f>
        <v>10</v>
      </c>
      <c r="O20" s="168">
        <f>'ПРИЛОЖЕНИЕ 6.1.'!H139</f>
        <v>10</v>
      </c>
    </row>
  </sheetData>
  <mergeCells count="5">
    <mergeCell ref="E3:I3"/>
    <mergeCell ref="D4:I4"/>
    <mergeCell ref="D5:I5"/>
    <mergeCell ref="D6:I6"/>
    <mergeCell ref="A7:O9"/>
  </mergeCells>
  <pageMargins left="0" right="0" top="0" bottom="0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0"/>
  <sheetViews>
    <sheetView topLeftCell="A52" zoomScale="125" zoomScaleNormal="125" workbookViewId="0">
      <selection activeCell="D56" sqref="D56"/>
    </sheetView>
  </sheetViews>
  <sheetFormatPr defaultRowHeight="12.75" x14ac:dyDescent="0.2"/>
  <cols>
    <col min="1" max="1" width="18.42578125" customWidth="1"/>
    <col min="2" max="2" width="24.5703125" customWidth="1"/>
    <col min="3" max="3" width="13.7109375" customWidth="1"/>
    <col min="4" max="4" width="13.5703125" customWidth="1"/>
    <col min="5" max="5" width="13.7109375" customWidth="1"/>
  </cols>
  <sheetData>
    <row r="1" spans="1:5" ht="15" x14ac:dyDescent="0.25">
      <c r="A1" s="443"/>
      <c r="B1" s="443"/>
      <c r="C1" s="443"/>
      <c r="D1" s="443"/>
      <c r="E1" s="445" t="s">
        <v>219</v>
      </c>
    </row>
    <row r="2" spans="1:5" ht="15" x14ac:dyDescent="0.25">
      <c r="A2" s="443"/>
      <c r="B2" s="443"/>
      <c r="C2" s="443"/>
      <c r="D2" s="443"/>
      <c r="E2" s="444" t="s">
        <v>220</v>
      </c>
    </row>
    <row r="3" spans="1:5" ht="15" x14ac:dyDescent="0.25">
      <c r="A3" s="443"/>
      <c r="B3" s="443"/>
      <c r="C3" s="443"/>
      <c r="D3" s="443"/>
      <c r="E3" s="444" t="s">
        <v>221</v>
      </c>
    </row>
    <row r="4" spans="1:5" ht="15" x14ac:dyDescent="0.25">
      <c r="B4" s="443"/>
      <c r="C4" s="443"/>
      <c r="D4" s="443"/>
      <c r="E4" s="444" t="s">
        <v>440</v>
      </c>
    </row>
    <row r="5" spans="1:5" ht="15" x14ac:dyDescent="0.25">
      <c r="B5" s="443"/>
      <c r="C5" s="443"/>
      <c r="D5" s="206"/>
      <c r="E5" s="443"/>
    </row>
    <row r="6" spans="1:5" x14ac:dyDescent="0.2">
      <c r="A6" s="506" t="s">
        <v>373</v>
      </c>
      <c r="B6" s="506"/>
      <c r="C6" s="506"/>
      <c r="D6" s="506"/>
      <c r="E6" s="507"/>
    </row>
    <row r="7" spans="1:5" x14ac:dyDescent="0.2">
      <c r="A7" s="506"/>
      <c r="B7" s="506"/>
      <c r="C7" s="506"/>
      <c r="D7" s="506"/>
      <c r="E7" s="507"/>
    </row>
    <row r="8" spans="1:5" x14ac:dyDescent="0.2">
      <c r="A8" s="508"/>
      <c r="B8" s="508"/>
      <c r="C8" s="508"/>
      <c r="D8" s="508"/>
      <c r="E8" s="509"/>
    </row>
    <row r="9" spans="1:5" ht="89.25" x14ac:dyDescent="0.2">
      <c r="A9" s="54" t="s">
        <v>161</v>
      </c>
      <c r="B9" s="54" t="s">
        <v>11</v>
      </c>
      <c r="C9" s="54" t="s">
        <v>162</v>
      </c>
      <c r="D9" s="54" t="s">
        <v>369</v>
      </c>
      <c r="E9" s="54" t="s">
        <v>372</v>
      </c>
    </row>
    <row r="10" spans="1:5" ht="60.75" x14ac:dyDescent="0.2">
      <c r="A10" s="55"/>
      <c r="B10" s="56" t="s">
        <v>165</v>
      </c>
      <c r="C10" s="63">
        <f>C11+C26</f>
        <v>28434455</v>
      </c>
      <c r="D10" s="63">
        <f>+D11+D26</f>
        <v>1035000</v>
      </c>
      <c r="E10" s="63">
        <f>+E11+E26</f>
        <v>29469455</v>
      </c>
    </row>
    <row r="11" spans="1:5" ht="40.5" x14ac:dyDescent="0.2">
      <c r="A11" s="55"/>
      <c r="B11" s="56" t="s">
        <v>166</v>
      </c>
      <c r="C11" s="63">
        <f>C12+C14+C17+C19+C21</f>
        <v>27404410</v>
      </c>
      <c r="D11" s="63">
        <f>+D12+D14+D17+D19+D21</f>
        <v>1035000</v>
      </c>
      <c r="E11" s="63">
        <f>+E12+E14+E17+E19+E21</f>
        <v>28439410</v>
      </c>
    </row>
    <row r="12" spans="1:5" ht="24" x14ac:dyDescent="0.2">
      <c r="A12" s="195" t="s">
        <v>167</v>
      </c>
      <c r="B12" s="198" t="s">
        <v>168</v>
      </c>
      <c r="C12" s="197">
        <v>2600000</v>
      </c>
      <c r="D12" s="197">
        <f>SUM(D13:D13)</f>
        <v>200000</v>
      </c>
      <c r="E12" s="197">
        <f>C12+D12</f>
        <v>2800000</v>
      </c>
    </row>
    <row r="13" spans="1:5" ht="153" x14ac:dyDescent="0.2">
      <c r="A13" s="51" t="s">
        <v>227</v>
      </c>
      <c r="B13" s="51" t="s">
        <v>169</v>
      </c>
      <c r="C13" s="52">
        <v>2600000</v>
      </c>
      <c r="D13" s="52">
        <v>200000</v>
      </c>
      <c r="E13" s="52">
        <f>C13+D13</f>
        <v>2800000</v>
      </c>
    </row>
    <row r="14" spans="1:5" ht="110.25" x14ac:dyDescent="0.2">
      <c r="A14" s="72" t="s">
        <v>170</v>
      </c>
      <c r="B14" s="201" t="s">
        <v>171</v>
      </c>
      <c r="C14" s="63">
        <f>C15+C16</f>
        <v>2950410</v>
      </c>
      <c r="D14" s="63">
        <f>SUM(D15:D16)</f>
        <v>700000</v>
      </c>
      <c r="E14" s="63">
        <f>C14+D14</f>
        <v>3650410</v>
      </c>
    </row>
    <row r="15" spans="1:5" ht="140.25" x14ac:dyDescent="0.2">
      <c r="A15" s="51" t="s">
        <v>225</v>
      </c>
      <c r="B15" s="51" t="s">
        <v>344</v>
      </c>
      <c r="C15" s="199">
        <v>1350000</v>
      </c>
      <c r="D15" s="199">
        <v>320000</v>
      </c>
      <c r="E15" s="199">
        <f>C15+D15</f>
        <v>1670000</v>
      </c>
    </row>
    <row r="16" spans="1:5" ht="140.25" x14ac:dyDescent="0.2">
      <c r="A16" s="51" t="s">
        <v>226</v>
      </c>
      <c r="B16" s="51" t="s">
        <v>172</v>
      </c>
      <c r="C16" s="199">
        <v>1600410</v>
      </c>
      <c r="D16" s="199">
        <v>380000</v>
      </c>
      <c r="E16" s="199">
        <f>C16+D16</f>
        <v>1980410</v>
      </c>
    </row>
    <row r="17" spans="1:5" ht="38.25" x14ac:dyDescent="0.2">
      <c r="A17" s="72" t="s">
        <v>173</v>
      </c>
      <c r="B17" s="54" t="s">
        <v>174</v>
      </c>
      <c r="C17" s="63">
        <f>C18</f>
        <v>410000</v>
      </c>
      <c r="D17" s="63">
        <f>+D18</f>
        <v>0</v>
      </c>
      <c r="E17" s="63">
        <f>+E18</f>
        <v>410000</v>
      </c>
    </row>
    <row r="18" spans="1:5" ht="25.5" x14ac:dyDescent="0.25">
      <c r="A18" s="51" t="s">
        <v>175</v>
      </c>
      <c r="B18" s="51" t="s">
        <v>174</v>
      </c>
      <c r="C18" s="57">
        <v>410000</v>
      </c>
      <c r="D18" s="57"/>
      <c r="E18" s="57">
        <f>C18+D18</f>
        <v>410000</v>
      </c>
    </row>
    <row r="19" spans="1:5" ht="31.5" x14ac:dyDescent="0.2">
      <c r="A19" s="72" t="s">
        <v>176</v>
      </c>
      <c r="B19" s="201" t="s">
        <v>177</v>
      </c>
      <c r="C19" s="63">
        <v>1594000</v>
      </c>
      <c r="D19" s="63">
        <f>+D20</f>
        <v>135000</v>
      </c>
      <c r="E19" s="63">
        <f>C19+D19</f>
        <v>1729000</v>
      </c>
    </row>
    <row r="20" spans="1:5" ht="76.5" x14ac:dyDescent="0.2">
      <c r="A20" s="51" t="s">
        <v>228</v>
      </c>
      <c r="B20" s="51" t="s">
        <v>178</v>
      </c>
      <c r="C20" s="58">
        <v>1594000</v>
      </c>
      <c r="D20" s="58">
        <v>135000</v>
      </c>
      <c r="E20" s="58">
        <f>C20+D20</f>
        <v>1729000</v>
      </c>
    </row>
    <row r="21" spans="1:5" ht="25.5" x14ac:dyDescent="0.2">
      <c r="A21" s="202" t="s">
        <v>179</v>
      </c>
      <c r="B21" s="201" t="s">
        <v>180</v>
      </c>
      <c r="C21" s="203">
        <v>19850000</v>
      </c>
      <c r="D21" s="203">
        <f>+D22+D24</f>
        <v>0</v>
      </c>
      <c r="E21" s="203">
        <f>+E22+E24</f>
        <v>19850000</v>
      </c>
    </row>
    <row r="22" spans="1:5" ht="25.5" x14ac:dyDescent="0.2">
      <c r="A22" s="64" t="s">
        <v>181</v>
      </c>
      <c r="B22" s="64" t="s">
        <v>182</v>
      </c>
      <c r="C22" s="203">
        <v>13000000</v>
      </c>
      <c r="D22" s="203">
        <f>+D23</f>
        <v>0</v>
      </c>
      <c r="E22" s="203">
        <f>+E23</f>
        <v>13000000</v>
      </c>
    </row>
    <row r="23" spans="1:5" ht="63.75" x14ac:dyDescent="0.2">
      <c r="A23" s="51" t="s">
        <v>229</v>
      </c>
      <c r="B23" s="51" t="s">
        <v>183</v>
      </c>
      <c r="C23" s="60">
        <v>13000000</v>
      </c>
      <c r="D23" s="60"/>
      <c r="E23" s="60">
        <v>13000000</v>
      </c>
    </row>
    <row r="24" spans="1:5" ht="25.5" x14ac:dyDescent="0.2">
      <c r="A24" s="64" t="s">
        <v>184</v>
      </c>
      <c r="B24" s="64" t="s">
        <v>185</v>
      </c>
      <c r="C24" s="203">
        <v>6850000</v>
      </c>
      <c r="D24" s="203">
        <f>+D25</f>
        <v>0</v>
      </c>
      <c r="E24" s="203">
        <f>+E25</f>
        <v>6850000</v>
      </c>
    </row>
    <row r="25" spans="1:5" ht="63.75" x14ac:dyDescent="0.2">
      <c r="A25" s="51" t="s">
        <v>230</v>
      </c>
      <c r="B25" s="51" t="s">
        <v>186</v>
      </c>
      <c r="C25" s="60">
        <v>6850000</v>
      </c>
      <c r="D25" s="60"/>
      <c r="E25" s="60">
        <v>6850000</v>
      </c>
    </row>
    <row r="26" spans="1:5" ht="40.5" x14ac:dyDescent="0.2">
      <c r="A26" s="64"/>
      <c r="B26" s="56" t="s">
        <v>187</v>
      </c>
      <c r="C26" s="63">
        <v>1030045</v>
      </c>
      <c r="D26" s="63">
        <f>+D27</f>
        <v>0</v>
      </c>
      <c r="E26" s="63">
        <f>+E27</f>
        <v>1030045</v>
      </c>
    </row>
    <row r="27" spans="1:5" ht="89.25" x14ac:dyDescent="0.2">
      <c r="A27" s="202" t="s">
        <v>188</v>
      </c>
      <c r="B27" s="54" t="s">
        <v>189</v>
      </c>
      <c r="C27" s="63">
        <f>C28+C29</f>
        <v>1030045</v>
      </c>
      <c r="D27" s="63">
        <f>SUM(D28:D29)</f>
        <v>0</v>
      </c>
      <c r="E27" s="63">
        <f>SUM(E28:E29)</f>
        <v>1030045</v>
      </c>
    </row>
    <row r="28" spans="1:5" ht="114.75" x14ac:dyDescent="0.2">
      <c r="A28" s="61" t="s">
        <v>190</v>
      </c>
      <c r="B28" s="61" t="s">
        <v>191</v>
      </c>
      <c r="C28" s="62">
        <v>144495</v>
      </c>
      <c r="D28" s="62"/>
      <c r="E28" s="62">
        <v>144495</v>
      </c>
    </row>
    <row r="29" spans="1:5" ht="140.25" x14ac:dyDescent="0.2">
      <c r="A29" s="51" t="s">
        <v>192</v>
      </c>
      <c r="B29" s="51" t="s">
        <v>193</v>
      </c>
      <c r="C29" s="62">
        <v>885550</v>
      </c>
      <c r="D29" s="62"/>
      <c r="E29" s="62">
        <v>885550</v>
      </c>
    </row>
    <row r="30" spans="1:5" ht="25.5" x14ac:dyDescent="0.2">
      <c r="A30" s="72" t="s">
        <v>194</v>
      </c>
      <c r="B30" s="54" t="s">
        <v>195</v>
      </c>
      <c r="C30" s="63">
        <f>C31</f>
        <v>60204235.880000003</v>
      </c>
      <c r="D30" s="63">
        <f>+D31</f>
        <v>-555239.98</v>
      </c>
      <c r="E30" s="63">
        <f>+E31</f>
        <v>59648995.900000006</v>
      </c>
    </row>
    <row r="31" spans="1:5" s="194" customFormat="1" ht="52.5" x14ac:dyDescent="0.2">
      <c r="A31" s="195" t="s">
        <v>196</v>
      </c>
      <c r="B31" s="196" t="s">
        <v>197</v>
      </c>
      <c r="C31" s="197">
        <f>C32+C33+C46+C49</f>
        <v>60204235.880000003</v>
      </c>
      <c r="D31" s="197">
        <f>+D32+D33+D46+D49</f>
        <v>-555239.98</v>
      </c>
      <c r="E31" s="197">
        <f>+E32+E33+E46+E49</f>
        <v>59648995.900000006</v>
      </c>
    </row>
    <row r="32" spans="1:5" s="194" customFormat="1" ht="32.25" thickBot="1" x14ac:dyDescent="0.25">
      <c r="A32" s="359" t="s">
        <v>198</v>
      </c>
      <c r="B32" s="360" t="s">
        <v>199</v>
      </c>
      <c r="C32" s="361">
        <v>16171500</v>
      </c>
      <c r="D32" s="361"/>
      <c r="E32" s="361">
        <f>3840000+12331500</f>
        <v>16171500</v>
      </c>
    </row>
    <row r="33" spans="1:5" s="194" customFormat="1" ht="31.5" x14ac:dyDescent="0.2">
      <c r="A33" s="355" t="s">
        <v>200</v>
      </c>
      <c r="B33" s="356" t="s">
        <v>201</v>
      </c>
      <c r="C33" s="357">
        <f>SUM(C34:C45)</f>
        <v>34373808.920000002</v>
      </c>
      <c r="D33" s="357">
        <f>SUM(D34:D45)</f>
        <v>-600239.98</v>
      </c>
      <c r="E33" s="358">
        <f>C33+D33</f>
        <v>33773568.940000005</v>
      </c>
    </row>
    <row r="34" spans="1:5" s="194" customFormat="1" ht="76.5" x14ac:dyDescent="0.2">
      <c r="A34" s="365" t="s">
        <v>376</v>
      </c>
      <c r="B34" s="414" t="s">
        <v>414</v>
      </c>
      <c r="C34" s="415">
        <v>77128.09</v>
      </c>
      <c r="D34" s="415"/>
      <c r="E34" s="416">
        <f t="shared" ref="E34:E45" si="0">C34+D34</f>
        <v>77128.09</v>
      </c>
    </row>
    <row r="35" spans="1:5" s="194" customFormat="1" ht="89.25" x14ac:dyDescent="0.2">
      <c r="A35" s="365" t="s">
        <v>376</v>
      </c>
      <c r="B35" s="414" t="s">
        <v>415</v>
      </c>
      <c r="C35" s="415">
        <v>1591471.43</v>
      </c>
      <c r="D35" s="415"/>
      <c r="E35" s="416">
        <f t="shared" si="0"/>
        <v>1591471.43</v>
      </c>
    </row>
    <row r="36" spans="1:5" s="194" customFormat="1" ht="178.5" x14ac:dyDescent="0.2">
      <c r="A36" s="365" t="s">
        <v>378</v>
      </c>
      <c r="B36" s="414" t="s">
        <v>416</v>
      </c>
      <c r="C36" s="415">
        <v>9183955.2899999991</v>
      </c>
      <c r="D36" s="415"/>
      <c r="E36" s="416">
        <f t="shared" si="0"/>
        <v>9183955.2899999991</v>
      </c>
    </row>
    <row r="37" spans="1:5" ht="76.5" x14ac:dyDescent="0.2">
      <c r="A37" s="229" t="s">
        <v>202</v>
      </c>
      <c r="B37" s="51" t="s">
        <v>417</v>
      </c>
      <c r="C37" s="47">
        <v>13407654.109999999</v>
      </c>
      <c r="D37" s="47"/>
      <c r="E37" s="271">
        <f t="shared" si="0"/>
        <v>13407654.109999999</v>
      </c>
    </row>
    <row r="38" spans="1:5" ht="25.5" x14ac:dyDescent="0.2">
      <c r="A38" s="229" t="s">
        <v>204</v>
      </c>
      <c r="B38" s="69" t="s">
        <v>386</v>
      </c>
      <c r="C38" s="47">
        <v>295000</v>
      </c>
      <c r="D38" s="47"/>
      <c r="E38" s="271">
        <f t="shared" si="0"/>
        <v>295000</v>
      </c>
    </row>
    <row r="39" spans="1:5" ht="25.5" x14ac:dyDescent="0.2">
      <c r="A39" s="229" t="s">
        <v>204</v>
      </c>
      <c r="B39" s="69" t="s">
        <v>380</v>
      </c>
      <c r="C39" s="47">
        <v>1444500</v>
      </c>
      <c r="D39" s="47"/>
      <c r="E39" s="271">
        <f t="shared" si="0"/>
        <v>1444500</v>
      </c>
    </row>
    <row r="40" spans="1:5" ht="25.5" x14ac:dyDescent="0.2">
      <c r="A40" s="229" t="s">
        <v>204</v>
      </c>
      <c r="B40" s="69" t="s">
        <v>381</v>
      </c>
      <c r="C40" s="47">
        <v>954600</v>
      </c>
      <c r="D40" s="47">
        <v>-600239.98</v>
      </c>
      <c r="E40" s="271">
        <f t="shared" si="0"/>
        <v>354360.02</v>
      </c>
    </row>
    <row r="41" spans="1:5" ht="25.5" x14ac:dyDescent="0.2">
      <c r="A41" s="229" t="s">
        <v>204</v>
      </c>
      <c r="B41" s="69" t="s">
        <v>382</v>
      </c>
      <c r="C41" s="47">
        <v>1500000</v>
      </c>
      <c r="D41" s="47"/>
      <c r="E41" s="271">
        <f t="shared" si="0"/>
        <v>1500000</v>
      </c>
    </row>
    <row r="42" spans="1:5" ht="25.5" x14ac:dyDescent="0.2">
      <c r="A42" s="229" t="s">
        <v>204</v>
      </c>
      <c r="B42" s="69" t="s">
        <v>383</v>
      </c>
      <c r="C42" s="47">
        <v>1059300</v>
      </c>
      <c r="D42" s="47"/>
      <c r="E42" s="271">
        <f t="shared" si="0"/>
        <v>1059300</v>
      </c>
    </row>
    <row r="43" spans="1:5" ht="25.5" x14ac:dyDescent="0.2">
      <c r="A43" s="229" t="s">
        <v>204</v>
      </c>
      <c r="B43" s="69" t="s">
        <v>384</v>
      </c>
      <c r="C43" s="47">
        <v>896900</v>
      </c>
      <c r="D43" s="47"/>
      <c r="E43" s="271">
        <f t="shared" si="0"/>
        <v>896900</v>
      </c>
    </row>
    <row r="44" spans="1:5" ht="25.5" x14ac:dyDescent="0.2">
      <c r="A44" s="229" t="s">
        <v>204</v>
      </c>
      <c r="B44" s="69" t="s">
        <v>444</v>
      </c>
      <c r="C44" s="47">
        <v>2063900</v>
      </c>
      <c r="D44" s="47"/>
      <c r="E44" s="271">
        <f t="shared" si="0"/>
        <v>2063900</v>
      </c>
    </row>
    <row r="45" spans="1:5" ht="26.25" thickBot="1" x14ac:dyDescent="0.25">
      <c r="A45" s="230" t="s">
        <v>204</v>
      </c>
      <c r="B45" s="366" t="s">
        <v>385</v>
      </c>
      <c r="C45" s="272">
        <v>1899400</v>
      </c>
      <c r="D45" s="272"/>
      <c r="E45" s="273">
        <f t="shared" si="0"/>
        <v>1899400</v>
      </c>
    </row>
    <row r="46" spans="1:5" ht="63.75" x14ac:dyDescent="0.2">
      <c r="A46" s="314" t="s">
        <v>208</v>
      </c>
      <c r="B46" s="315" t="s">
        <v>209</v>
      </c>
      <c r="C46" s="291">
        <f>C47+C48</f>
        <v>300920</v>
      </c>
      <c r="D46" s="291">
        <f>SUM(D47:D48)</f>
        <v>0</v>
      </c>
      <c r="E46" s="291">
        <f>SUM(E47:E48)</f>
        <v>300920</v>
      </c>
    </row>
    <row r="47" spans="1:5" ht="76.5" x14ac:dyDescent="0.2">
      <c r="A47" s="51" t="s">
        <v>210</v>
      </c>
      <c r="B47" s="51" t="s">
        <v>374</v>
      </c>
      <c r="C47" s="62">
        <v>3520</v>
      </c>
      <c r="D47" s="62"/>
      <c r="E47" s="62">
        <v>3520</v>
      </c>
    </row>
    <row r="48" spans="1:5" ht="112.5" customHeight="1" x14ac:dyDescent="0.2">
      <c r="A48" s="51" t="s">
        <v>212</v>
      </c>
      <c r="B48" s="51" t="s">
        <v>375</v>
      </c>
      <c r="C48" s="62">
        <v>297400</v>
      </c>
      <c r="D48" s="62"/>
      <c r="E48" s="62">
        <f>C48+D48</f>
        <v>297400</v>
      </c>
    </row>
    <row r="49" spans="1:5" ht="25.5" x14ac:dyDescent="0.2">
      <c r="A49" s="72" t="s">
        <v>214</v>
      </c>
      <c r="B49" s="54" t="s">
        <v>102</v>
      </c>
      <c r="C49" s="204">
        <f>SUM(C50:C56)</f>
        <v>9358006.9600000009</v>
      </c>
      <c r="D49" s="204">
        <f>SUM(D50:D56)</f>
        <v>45000</v>
      </c>
      <c r="E49" s="204">
        <f>C49+D49</f>
        <v>9403006.9600000009</v>
      </c>
    </row>
    <row r="50" spans="1:5" ht="51" x14ac:dyDescent="0.2">
      <c r="A50" s="51" t="s">
        <v>215</v>
      </c>
      <c r="B50" s="51" t="s">
        <v>387</v>
      </c>
      <c r="C50" s="47">
        <v>580000</v>
      </c>
      <c r="D50" s="47"/>
      <c r="E50" s="47">
        <f>C50+D50</f>
        <v>580000</v>
      </c>
    </row>
    <row r="51" spans="1:5" ht="51" x14ac:dyDescent="0.2">
      <c r="A51" s="51" t="s">
        <v>215</v>
      </c>
      <c r="B51" s="51" t="s">
        <v>418</v>
      </c>
      <c r="C51" s="47">
        <v>36657.78</v>
      </c>
      <c r="D51" s="47"/>
      <c r="E51" s="47">
        <f t="shared" ref="E51:E56" si="1">C51+D51</f>
        <v>36657.78</v>
      </c>
    </row>
    <row r="52" spans="1:5" ht="51" x14ac:dyDescent="0.2">
      <c r="A52" s="51" t="s">
        <v>215</v>
      </c>
      <c r="B52" s="51" t="s">
        <v>387</v>
      </c>
      <c r="C52" s="47">
        <v>964900</v>
      </c>
      <c r="D52" s="47"/>
      <c r="E52" s="47">
        <f t="shared" si="1"/>
        <v>964900</v>
      </c>
    </row>
    <row r="53" spans="1:5" ht="51" x14ac:dyDescent="0.2">
      <c r="A53" s="51" t="s">
        <v>215</v>
      </c>
      <c r="B53" s="51" t="s">
        <v>442</v>
      </c>
      <c r="C53" s="47">
        <v>590450</v>
      </c>
      <c r="D53" s="47"/>
      <c r="E53" s="47">
        <f t="shared" si="1"/>
        <v>590450</v>
      </c>
    </row>
    <row r="54" spans="1:5" ht="51" x14ac:dyDescent="0.2">
      <c r="A54" s="51" t="s">
        <v>215</v>
      </c>
      <c r="B54" s="51" t="s">
        <v>443</v>
      </c>
      <c r="C54" s="47">
        <v>7011199.1799999997</v>
      </c>
      <c r="D54" s="47"/>
      <c r="E54" s="47">
        <f t="shared" si="1"/>
        <v>7011199.1799999997</v>
      </c>
    </row>
    <row r="55" spans="1:5" ht="51" x14ac:dyDescent="0.2">
      <c r="A55" s="51" t="s">
        <v>215</v>
      </c>
      <c r="B55" s="51" t="s">
        <v>522</v>
      </c>
      <c r="C55" s="47">
        <v>0</v>
      </c>
      <c r="D55" s="47">
        <f>45000</f>
        <v>45000</v>
      </c>
      <c r="E55" s="47">
        <f t="shared" si="1"/>
        <v>45000</v>
      </c>
    </row>
    <row r="56" spans="1:5" ht="51" x14ac:dyDescent="0.2">
      <c r="A56" s="51" t="s">
        <v>215</v>
      </c>
      <c r="B56" s="51" t="s">
        <v>441</v>
      </c>
      <c r="C56" s="47">
        <v>174800</v>
      </c>
      <c r="D56" s="47"/>
      <c r="E56" s="47">
        <f t="shared" si="1"/>
        <v>174800</v>
      </c>
    </row>
    <row r="57" spans="1:5" ht="37.5" x14ac:dyDescent="0.2">
      <c r="A57" s="64"/>
      <c r="B57" s="65" t="s">
        <v>217</v>
      </c>
      <c r="C57" s="63">
        <f>C10+C30</f>
        <v>88638690.879999995</v>
      </c>
      <c r="D57" s="63">
        <f>+D30+D10</f>
        <v>479760.02</v>
      </c>
      <c r="E57" s="63">
        <f>C57+D57</f>
        <v>89118450.899999991</v>
      </c>
    </row>
    <row r="60" spans="1:5" x14ac:dyDescent="0.2">
      <c r="C60" s="368"/>
    </row>
  </sheetData>
  <mergeCells count="1">
    <mergeCell ref="A6:E8"/>
  </mergeCells>
  <pageMargins left="0.70866141732283472" right="7.874015748031496E-2" top="0.74803149606299213" bottom="7.874015748031496E-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43"/>
  <sheetViews>
    <sheetView workbookViewId="0">
      <selection sqref="A1:E42"/>
    </sheetView>
  </sheetViews>
  <sheetFormatPr defaultRowHeight="15" x14ac:dyDescent="0.25"/>
  <cols>
    <col min="1" max="1" width="20.85546875" style="43" customWidth="1"/>
    <col min="2" max="2" width="35" style="43" customWidth="1"/>
    <col min="3" max="4" width="11.85546875" style="209" customWidth="1"/>
    <col min="5" max="5" width="13.5703125" style="209" customWidth="1"/>
    <col min="6" max="256" width="9.140625" style="43"/>
    <col min="257" max="257" width="24.140625" style="43" customWidth="1"/>
    <col min="258" max="258" width="48.7109375" style="43" customWidth="1"/>
    <col min="259" max="259" width="14.140625" style="43" customWidth="1"/>
    <col min="260" max="260" width="14.28515625" style="43" customWidth="1"/>
    <col min="261" max="261" width="15.28515625" style="43" customWidth="1"/>
    <col min="262" max="512" width="9.140625" style="43"/>
    <col min="513" max="513" width="24.140625" style="43" customWidth="1"/>
    <col min="514" max="514" width="48.7109375" style="43" customWidth="1"/>
    <col min="515" max="515" width="14.140625" style="43" customWidth="1"/>
    <col min="516" max="516" width="14.28515625" style="43" customWidth="1"/>
    <col min="517" max="517" width="15.28515625" style="43" customWidth="1"/>
    <col min="518" max="768" width="9.140625" style="43"/>
    <col min="769" max="769" width="24.140625" style="43" customWidth="1"/>
    <col min="770" max="770" width="48.7109375" style="43" customWidth="1"/>
    <col min="771" max="771" width="14.140625" style="43" customWidth="1"/>
    <col min="772" max="772" width="14.28515625" style="43" customWidth="1"/>
    <col min="773" max="773" width="15.28515625" style="43" customWidth="1"/>
    <col min="774" max="1024" width="9.140625" style="43"/>
    <col min="1025" max="1025" width="24.140625" style="43" customWidth="1"/>
    <col min="1026" max="1026" width="48.7109375" style="43" customWidth="1"/>
    <col min="1027" max="1027" width="14.140625" style="43" customWidth="1"/>
    <col min="1028" max="1028" width="14.28515625" style="43" customWidth="1"/>
    <col min="1029" max="1029" width="15.28515625" style="43" customWidth="1"/>
    <col min="1030" max="1280" width="9.140625" style="43"/>
    <col min="1281" max="1281" width="24.140625" style="43" customWidth="1"/>
    <col min="1282" max="1282" width="48.7109375" style="43" customWidth="1"/>
    <col min="1283" max="1283" width="14.140625" style="43" customWidth="1"/>
    <col min="1284" max="1284" width="14.28515625" style="43" customWidth="1"/>
    <col min="1285" max="1285" width="15.28515625" style="43" customWidth="1"/>
    <col min="1286" max="1536" width="9.140625" style="43"/>
    <col min="1537" max="1537" width="24.140625" style="43" customWidth="1"/>
    <col min="1538" max="1538" width="48.7109375" style="43" customWidth="1"/>
    <col min="1539" max="1539" width="14.140625" style="43" customWidth="1"/>
    <col min="1540" max="1540" width="14.28515625" style="43" customWidth="1"/>
    <col min="1541" max="1541" width="15.28515625" style="43" customWidth="1"/>
    <col min="1542" max="1792" width="9.140625" style="43"/>
    <col min="1793" max="1793" width="24.140625" style="43" customWidth="1"/>
    <col min="1794" max="1794" width="48.7109375" style="43" customWidth="1"/>
    <col min="1795" max="1795" width="14.140625" style="43" customWidth="1"/>
    <col min="1796" max="1796" width="14.28515625" style="43" customWidth="1"/>
    <col min="1797" max="1797" width="15.28515625" style="43" customWidth="1"/>
    <col min="1798" max="2048" width="9.140625" style="43"/>
    <col min="2049" max="2049" width="24.140625" style="43" customWidth="1"/>
    <col min="2050" max="2050" width="48.7109375" style="43" customWidth="1"/>
    <col min="2051" max="2051" width="14.140625" style="43" customWidth="1"/>
    <col min="2052" max="2052" width="14.28515625" style="43" customWidth="1"/>
    <col min="2053" max="2053" width="15.28515625" style="43" customWidth="1"/>
    <col min="2054" max="2304" width="9.140625" style="43"/>
    <col min="2305" max="2305" width="24.140625" style="43" customWidth="1"/>
    <col min="2306" max="2306" width="48.7109375" style="43" customWidth="1"/>
    <col min="2307" max="2307" width="14.140625" style="43" customWidth="1"/>
    <col min="2308" max="2308" width="14.28515625" style="43" customWidth="1"/>
    <col min="2309" max="2309" width="15.28515625" style="43" customWidth="1"/>
    <col min="2310" max="2560" width="9.140625" style="43"/>
    <col min="2561" max="2561" width="24.140625" style="43" customWidth="1"/>
    <col min="2562" max="2562" width="48.7109375" style="43" customWidth="1"/>
    <col min="2563" max="2563" width="14.140625" style="43" customWidth="1"/>
    <col min="2564" max="2564" width="14.28515625" style="43" customWidth="1"/>
    <col min="2565" max="2565" width="15.28515625" style="43" customWidth="1"/>
    <col min="2566" max="2816" width="9.140625" style="43"/>
    <col min="2817" max="2817" width="24.140625" style="43" customWidth="1"/>
    <col min="2818" max="2818" width="48.7109375" style="43" customWidth="1"/>
    <col min="2819" max="2819" width="14.140625" style="43" customWidth="1"/>
    <col min="2820" max="2820" width="14.28515625" style="43" customWidth="1"/>
    <col min="2821" max="2821" width="15.28515625" style="43" customWidth="1"/>
    <col min="2822" max="3072" width="9.140625" style="43"/>
    <col min="3073" max="3073" width="24.140625" style="43" customWidth="1"/>
    <col min="3074" max="3074" width="48.7109375" style="43" customWidth="1"/>
    <col min="3075" max="3075" width="14.140625" style="43" customWidth="1"/>
    <col min="3076" max="3076" width="14.28515625" style="43" customWidth="1"/>
    <col min="3077" max="3077" width="15.28515625" style="43" customWidth="1"/>
    <col min="3078" max="3328" width="9.140625" style="43"/>
    <col min="3329" max="3329" width="24.140625" style="43" customWidth="1"/>
    <col min="3330" max="3330" width="48.7109375" style="43" customWidth="1"/>
    <col min="3331" max="3331" width="14.140625" style="43" customWidth="1"/>
    <col min="3332" max="3332" width="14.28515625" style="43" customWidth="1"/>
    <col min="3333" max="3333" width="15.28515625" style="43" customWidth="1"/>
    <col min="3334" max="3584" width="9.140625" style="43"/>
    <col min="3585" max="3585" width="24.140625" style="43" customWidth="1"/>
    <col min="3586" max="3586" width="48.7109375" style="43" customWidth="1"/>
    <col min="3587" max="3587" width="14.140625" style="43" customWidth="1"/>
    <col min="3588" max="3588" width="14.28515625" style="43" customWidth="1"/>
    <col min="3589" max="3589" width="15.28515625" style="43" customWidth="1"/>
    <col min="3590" max="3840" width="9.140625" style="43"/>
    <col min="3841" max="3841" width="24.140625" style="43" customWidth="1"/>
    <col min="3842" max="3842" width="48.7109375" style="43" customWidth="1"/>
    <col min="3843" max="3843" width="14.140625" style="43" customWidth="1"/>
    <col min="3844" max="3844" width="14.28515625" style="43" customWidth="1"/>
    <col min="3845" max="3845" width="15.28515625" style="43" customWidth="1"/>
    <col min="3846" max="4096" width="9.140625" style="43"/>
    <col min="4097" max="4097" width="24.140625" style="43" customWidth="1"/>
    <col min="4098" max="4098" width="48.7109375" style="43" customWidth="1"/>
    <col min="4099" max="4099" width="14.140625" style="43" customWidth="1"/>
    <col min="4100" max="4100" width="14.28515625" style="43" customWidth="1"/>
    <col min="4101" max="4101" width="15.28515625" style="43" customWidth="1"/>
    <col min="4102" max="4352" width="9.140625" style="43"/>
    <col min="4353" max="4353" width="24.140625" style="43" customWidth="1"/>
    <col min="4354" max="4354" width="48.7109375" style="43" customWidth="1"/>
    <col min="4355" max="4355" width="14.140625" style="43" customWidth="1"/>
    <col min="4356" max="4356" width="14.28515625" style="43" customWidth="1"/>
    <col min="4357" max="4357" width="15.28515625" style="43" customWidth="1"/>
    <col min="4358" max="4608" width="9.140625" style="43"/>
    <col min="4609" max="4609" width="24.140625" style="43" customWidth="1"/>
    <col min="4610" max="4610" width="48.7109375" style="43" customWidth="1"/>
    <col min="4611" max="4611" width="14.140625" style="43" customWidth="1"/>
    <col min="4612" max="4612" width="14.28515625" style="43" customWidth="1"/>
    <col min="4613" max="4613" width="15.28515625" style="43" customWidth="1"/>
    <col min="4614" max="4864" width="9.140625" style="43"/>
    <col min="4865" max="4865" width="24.140625" style="43" customWidth="1"/>
    <col min="4866" max="4866" width="48.7109375" style="43" customWidth="1"/>
    <col min="4867" max="4867" width="14.140625" style="43" customWidth="1"/>
    <col min="4868" max="4868" width="14.28515625" style="43" customWidth="1"/>
    <col min="4869" max="4869" width="15.28515625" style="43" customWidth="1"/>
    <col min="4870" max="5120" width="9.140625" style="43"/>
    <col min="5121" max="5121" width="24.140625" style="43" customWidth="1"/>
    <col min="5122" max="5122" width="48.7109375" style="43" customWidth="1"/>
    <col min="5123" max="5123" width="14.140625" style="43" customWidth="1"/>
    <col min="5124" max="5124" width="14.28515625" style="43" customWidth="1"/>
    <col min="5125" max="5125" width="15.28515625" style="43" customWidth="1"/>
    <col min="5126" max="5376" width="9.140625" style="43"/>
    <col min="5377" max="5377" width="24.140625" style="43" customWidth="1"/>
    <col min="5378" max="5378" width="48.7109375" style="43" customWidth="1"/>
    <col min="5379" max="5379" width="14.140625" style="43" customWidth="1"/>
    <col min="5380" max="5380" width="14.28515625" style="43" customWidth="1"/>
    <col min="5381" max="5381" width="15.28515625" style="43" customWidth="1"/>
    <col min="5382" max="5632" width="9.140625" style="43"/>
    <col min="5633" max="5633" width="24.140625" style="43" customWidth="1"/>
    <col min="5634" max="5634" width="48.7109375" style="43" customWidth="1"/>
    <col min="5635" max="5635" width="14.140625" style="43" customWidth="1"/>
    <col min="5636" max="5636" width="14.28515625" style="43" customWidth="1"/>
    <col min="5637" max="5637" width="15.28515625" style="43" customWidth="1"/>
    <col min="5638" max="5888" width="9.140625" style="43"/>
    <col min="5889" max="5889" width="24.140625" style="43" customWidth="1"/>
    <col min="5890" max="5890" width="48.7109375" style="43" customWidth="1"/>
    <col min="5891" max="5891" width="14.140625" style="43" customWidth="1"/>
    <col min="5892" max="5892" width="14.28515625" style="43" customWidth="1"/>
    <col min="5893" max="5893" width="15.28515625" style="43" customWidth="1"/>
    <col min="5894" max="6144" width="9.140625" style="43"/>
    <col min="6145" max="6145" width="24.140625" style="43" customWidth="1"/>
    <col min="6146" max="6146" width="48.7109375" style="43" customWidth="1"/>
    <col min="6147" max="6147" width="14.140625" style="43" customWidth="1"/>
    <col min="6148" max="6148" width="14.28515625" style="43" customWidth="1"/>
    <col min="6149" max="6149" width="15.28515625" style="43" customWidth="1"/>
    <col min="6150" max="6400" width="9.140625" style="43"/>
    <col min="6401" max="6401" width="24.140625" style="43" customWidth="1"/>
    <col min="6402" max="6402" width="48.7109375" style="43" customWidth="1"/>
    <col min="6403" max="6403" width="14.140625" style="43" customWidth="1"/>
    <col min="6404" max="6404" width="14.28515625" style="43" customWidth="1"/>
    <col min="6405" max="6405" width="15.28515625" style="43" customWidth="1"/>
    <col min="6406" max="6656" width="9.140625" style="43"/>
    <col min="6657" max="6657" width="24.140625" style="43" customWidth="1"/>
    <col min="6658" max="6658" width="48.7109375" style="43" customWidth="1"/>
    <col min="6659" max="6659" width="14.140625" style="43" customWidth="1"/>
    <col min="6660" max="6660" width="14.28515625" style="43" customWidth="1"/>
    <col min="6661" max="6661" width="15.28515625" style="43" customWidth="1"/>
    <col min="6662" max="6912" width="9.140625" style="43"/>
    <col min="6913" max="6913" width="24.140625" style="43" customWidth="1"/>
    <col min="6914" max="6914" width="48.7109375" style="43" customWidth="1"/>
    <col min="6915" max="6915" width="14.140625" style="43" customWidth="1"/>
    <col min="6916" max="6916" width="14.28515625" style="43" customWidth="1"/>
    <col min="6917" max="6917" width="15.28515625" style="43" customWidth="1"/>
    <col min="6918" max="7168" width="9.140625" style="43"/>
    <col min="7169" max="7169" width="24.140625" style="43" customWidth="1"/>
    <col min="7170" max="7170" width="48.7109375" style="43" customWidth="1"/>
    <col min="7171" max="7171" width="14.140625" style="43" customWidth="1"/>
    <col min="7172" max="7172" width="14.28515625" style="43" customWidth="1"/>
    <col min="7173" max="7173" width="15.28515625" style="43" customWidth="1"/>
    <col min="7174" max="7424" width="9.140625" style="43"/>
    <col min="7425" max="7425" width="24.140625" style="43" customWidth="1"/>
    <col min="7426" max="7426" width="48.7109375" style="43" customWidth="1"/>
    <col min="7427" max="7427" width="14.140625" style="43" customWidth="1"/>
    <col min="7428" max="7428" width="14.28515625" style="43" customWidth="1"/>
    <col min="7429" max="7429" width="15.28515625" style="43" customWidth="1"/>
    <col min="7430" max="7680" width="9.140625" style="43"/>
    <col min="7681" max="7681" width="24.140625" style="43" customWidth="1"/>
    <col min="7682" max="7682" width="48.7109375" style="43" customWidth="1"/>
    <col min="7683" max="7683" width="14.140625" style="43" customWidth="1"/>
    <col min="7684" max="7684" width="14.28515625" style="43" customWidth="1"/>
    <col min="7685" max="7685" width="15.28515625" style="43" customWidth="1"/>
    <col min="7686" max="7936" width="9.140625" style="43"/>
    <col min="7937" max="7937" width="24.140625" style="43" customWidth="1"/>
    <col min="7938" max="7938" width="48.7109375" style="43" customWidth="1"/>
    <col min="7939" max="7939" width="14.140625" style="43" customWidth="1"/>
    <col min="7940" max="7940" width="14.28515625" style="43" customWidth="1"/>
    <col min="7941" max="7941" width="15.28515625" style="43" customWidth="1"/>
    <col min="7942" max="8192" width="9.140625" style="43"/>
    <col min="8193" max="8193" width="24.140625" style="43" customWidth="1"/>
    <col min="8194" max="8194" width="48.7109375" style="43" customWidth="1"/>
    <col min="8195" max="8195" width="14.140625" style="43" customWidth="1"/>
    <col min="8196" max="8196" width="14.28515625" style="43" customWidth="1"/>
    <col min="8197" max="8197" width="15.28515625" style="43" customWidth="1"/>
    <col min="8198" max="8448" width="9.140625" style="43"/>
    <col min="8449" max="8449" width="24.140625" style="43" customWidth="1"/>
    <col min="8450" max="8450" width="48.7109375" style="43" customWidth="1"/>
    <col min="8451" max="8451" width="14.140625" style="43" customWidth="1"/>
    <col min="8452" max="8452" width="14.28515625" style="43" customWidth="1"/>
    <col min="8453" max="8453" width="15.28515625" style="43" customWidth="1"/>
    <col min="8454" max="8704" width="9.140625" style="43"/>
    <col min="8705" max="8705" width="24.140625" style="43" customWidth="1"/>
    <col min="8706" max="8706" width="48.7109375" style="43" customWidth="1"/>
    <col min="8707" max="8707" width="14.140625" style="43" customWidth="1"/>
    <col min="8708" max="8708" width="14.28515625" style="43" customWidth="1"/>
    <col min="8709" max="8709" width="15.28515625" style="43" customWidth="1"/>
    <col min="8710" max="8960" width="9.140625" style="43"/>
    <col min="8961" max="8961" width="24.140625" style="43" customWidth="1"/>
    <col min="8962" max="8962" width="48.7109375" style="43" customWidth="1"/>
    <col min="8963" max="8963" width="14.140625" style="43" customWidth="1"/>
    <col min="8964" max="8964" width="14.28515625" style="43" customWidth="1"/>
    <col min="8965" max="8965" width="15.28515625" style="43" customWidth="1"/>
    <col min="8966" max="9216" width="9.140625" style="43"/>
    <col min="9217" max="9217" width="24.140625" style="43" customWidth="1"/>
    <col min="9218" max="9218" width="48.7109375" style="43" customWidth="1"/>
    <col min="9219" max="9219" width="14.140625" style="43" customWidth="1"/>
    <col min="9220" max="9220" width="14.28515625" style="43" customWidth="1"/>
    <col min="9221" max="9221" width="15.28515625" style="43" customWidth="1"/>
    <col min="9222" max="9472" width="9.140625" style="43"/>
    <col min="9473" max="9473" width="24.140625" style="43" customWidth="1"/>
    <col min="9474" max="9474" width="48.7109375" style="43" customWidth="1"/>
    <col min="9475" max="9475" width="14.140625" style="43" customWidth="1"/>
    <col min="9476" max="9476" width="14.28515625" style="43" customWidth="1"/>
    <col min="9477" max="9477" width="15.28515625" style="43" customWidth="1"/>
    <col min="9478" max="9728" width="9.140625" style="43"/>
    <col min="9729" max="9729" width="24.140625" style="43" customWidth="1"/>
    <col min="9730" max="9730" width="48.7109375" style="43" customWidth="1"/>
    <col min="9731" max="9731" width="14.140625" style="43" customWidth="1"/>
    <col min="9732" max="9732" width="14.28515625" style="43" customWidth="1"/>
    <col min="9733" max="9733" width="15.28515625" style="43" customWidth="1"/>
    <col min="9734" max="9984" width="9.140625" style="43"/>
    <col min="9985" max="9985" width="24.140625" style="43" customWidth="1"/>
    <col min="9986" max="9986" width="48.7109375" style="43" customWidth="1"/>
    <col min="9987" max="9987" width="14.140625" style="43" customWidth="1"/>
    <col min="9988" max="9988" width="14.28515625" style="43" customWidth="1"/>
    <col min="9989" max="9989" width="15.28515625" style="43" customWidth="1"/>
    <col min="9990" max="10240" width="9.140625" style="43"/>
    <col min="10241" max="10241" width="24.140625" style="43" customWidth="1"/>
    <col min="10242" max="10242" width="48.7109375" style="43" customWidth="1"/>
    <col min="10243" max="10243" width="14.140625" style="43" customWidth="1"/>
    <col min="10244" max="10244" width="14.28515625" style="43" customWidth="1"/>
    <col min="10245" max="10245" width="15.28515625" style="43" customWidth="1"/>
    <col min="10246" max="10496" width="9.140625" style="43"/>
    <col min="10497" max="10497" width="24.140625" style="43" customWidth="1"/>
    <col min="10498" max="10498" width="48.7109375" style="43" customWidth="1"/>
    <col min="10499" max="10499" width="14.140625" style="43" customWidth="1"/>
    <col min="10500" max="10500" width="14.28515625" style="43" customWidth="1"/>
    <col min="10501" max="10501" width="15.28515625" style="43" customWidth="1"/>
    <col min="10502" max="10752" width="9.140625" style="43"/>
    <col min="10753" max="10753" width="24.140625" style="43" customWidth="1"/>
    <col min="10754" max="10754" width="48.7109375" style="43" customWidth="1"/>
    <col min="10755" max="10755" width="14.140625" style="43" customWidth="1"/>
    <col min="10756" max="10756" width="14.28515625" style="43" customWidth="1"/>
    <col min="10757" max="10757" width="15.28515625" style="43" customWidth="1"/>
    <col min="10758" max="11008" width="9.140625" style="43"/>
    <col min="11009" max="11009" width="24.140625" style="43" customWidth="1"/>
    <col min="11010" max="11010" width="48.7109375" style="43" customWidth="1"/>
    <col min="11011" max="11011" width="14.140625" style="43" customWidth="1"/>
    <col min="11012" max="11012" width="14.28515625" style="43" customWidth="1"/>
    <col min="11013" max="11013" width="15.28515625" style="43" customWidth="1"/>
    <col min="11014" max="11264" width="9.140625" style="43"/>
    <col min="11265" max="11265" width="24.140625" style="43" customWidth="1"/>
    <col min="11266" max="11266" width="48.7109375" style="43" customWidth="1"/>
    <col min="11267" max="11267" width="14.140625" style="43" customWidth="1"/>
    <col min="11268" max="11268" width="14.28515625" style="43" customWidth="1"/>
    <col min="11269" max="11269" width="15.28515625" style="43" customWidth="1"/>
    <col min="11270" max="11520" width="9.140625" style="43"/>
    <col min="11521" max="11521" width="24.140625" style="43" customWidth="1"/>
    <col min="11522" max="11522" width="48.7109375" style="43" customWidth="1"/>
    <col min="11523" max="11523" width="14.140625" style="43" customWidth="1"/>
    <col min="11524" max="11524" width="14.28515625" style="43" customWidth="1"/>
    <col min="11525" max="11525" width="15.28515625" style="43" customWidth="1"/>
    <col min="11526" max="11776" width="9.140625" style="43"/>
    <col min="11777" max="11777" width="24.140625" style="43" customWidth="1"/>
    <col min="11778" max="11778" width="48.7109375" style="43" customWidth="1"/>
    <col min="11779" max="11779" width="14.140625" style="43" customWidth="1"/>
    <col min="11780" max="11780" width="14.28515625" style="43" customWidth="1"/>
    <col min="11781" max="11781" width="15.28515625" style="43" customWidth="1"/>
    <col min="11782" max="12032" width="9.140625" style="43"/>
    <col min="12033" max="12033" width="24.140625" style="43" customWidth="1"/>
    <col min="12034" max="12034" width="48.7109375" style="43" customWidth="1"/>
    <col min="12035" max="12035" width="14.140625" style="43" customWidth="1"/>
    <col min="12036" max="12036" width="14.28515625" style="43" customWidth="1"/>
    <col min="12037" max="12037" width="15.28515625" style="43" customWidth="1"/>
    <col min="12038" max="12288" width="9.140625" style="43"/>
    <col min="12289" max="12289" width="24.140625" style="43" customWidth="1"/>
    <col min="12290" max="12290" width="48.7109375" style="43" customWidth="1"/>
    <col min="12291" max="12291" width="14.140625" style="43" customWidth="1"/>
    <col min="12292" max="12292" width="14.28515625" style="43" customWidth="1"/>
    <col min="12293" max="12293" width="15.28515625" style="43" customWidth="1"/>
    <col min="12294" max="12544" width="9.140625" style="43"/>
    <col min="12545" max="12545" width="24.140625" style="43" customWidth="1"/>
    <col min="12546" max="12546" width="48.7109375" style="43" customWidth="1"/>
    <col min="12547" max="12547" width="14.140625" style="43" customWidth="1"/>
    <col min="12548" max="12548" width="14.28515625" style="43" customWidth="1"/>
    <col min="12549" max="12549" width="15.28515625" style="43" customWidth="1"/>
    <col min="12550" max="12800" width="9.140625" style="43"/>
    <col min="12801" max="12801" width="24.140625" style="43" customWidth="1"/>
    <col min="12802" max="12802" width="48.7109375" style="43" customWidth="1"/>
    <col min="12803" max="12803" width="14.140625" style="43" customWidth="1"/>
    <col min="12804" max="12804" width="14.28515625" style="43" customWidth="1"/>
    <col min="12805" max="12805" width="15.28515625" style="43" customWidth="1"/>
    <col min="12806" max="13056" width="9.140625" style="43"/>
    <col min="13057" max="13057" width="24.140625" style="43" customWidth="1"/>
    <col min="13058" max="13058" width="48.7109375" style="43" customWidth="1"/>
    <col min="13059" max="13059" width="14.140625" style="43" customWidth="1"/>
    <col min="13060" max="13060" width="14.28515625" style="43" customWidth="1"/>
    <col min="13061" max="13061" width="15.28515625" style="43" customWidth="1"/>
    <col min="13062" max="13312" width="9.140625" style="43"/>
    <col min="13313" max="13313" width="24.140625" style="43" customWidth="1"/>
    <col min="13314" max="13314" width="48.7109375" style="43" customWidth="1"/>
    <col min="13315" max="13315" width="14.140625" style="43" customWidth="1"/>
    <col min="13316" max="13316" width="14.28515625" style="43" customWidth="1"/>
    <col min="13317" max="13317" width="15.28515625" style="43" customWidth="1"/>
    <col min="13318" max="13568" width="9.140625" style="43"/>
    <col min="13569" max="13569" width="24.140625" style="43" customWidth="1"/>
    <col min="13570" max="13570" width="48.7109375" style="43" customWidth="1"/>
    <col min="13571" max="13571" width="14.140625" style="43" customWidth="1"/>
    <col min="13572" max="13572" width="14.28515625" style="43" customWidth="1"/>
    <col min="13573" max="13573" width="15.28515625" style="43" customWidth="1"/>
    <col min="13574" max="13824" width="9.140625" style="43"/>
    <col min="13825" max="13825" width="24.140625" style="43" customWidth="1"/>
    <col min="13826" max="13826" width="48.7109375" style="43" customWidth="1"/>
    <col min="13827" max="13827" width="14.140625" style="43" customWidth="1"/>
    <col min="13828" max="13828" width="14.28515625" style="43" customWidth="1"/>
    <col min="13829" max="13829" width="15.28515625" style="43" customWidth="1"/>
    <col min="13830" max="14080" width="9.140625" style="43"/>
    <col min="14081" max="14081" width="24.140625" style="43" customWidth="1"/>
    <col min="14082" max="14082" width="48.7109375" style="43" customWidth="1"/>
    <col min="14083" max="14083" width="14.140625" style="43" customWidth="1"/>
    <col min="14084" max="14084" width="14.28515625" style="43" customWidth="1"/>
    <col min="14085" max="14085" width="15.28515625" style="43" customWidth="1"/>
    <col min="14086" max="14336" width="9.140625" style="43"/>
    <col min="14337" max="14337" width="24.140625" style="43" customWidth="1"/>
    <col min="14338" max="14338" width="48.7109375" style="43" customWidth="1"/>
    <col min="14339" max="14339" width="14.140625" style="43" customWidth="1"/>
    <col min="14340" max="14340" width="14.28515625" style="43" customWidth="1"/>
    <col min="14341" max="14341" width="15.28515625" style="43" customWidth="1"/>
    <col min="14342" max="14592" width="9.140625" style="43"/>
    <col min="14593" max="14593" width="24.140625" style="43" customWidth="1"/>
    <col min="14594" max="14594" width="48.7109375" style="43" customWidth="1"/>
    <col min="14595" max="14595" width="14.140625" style="43" customWidth="1"/>
    <col min="14596" max="14596" width="14.28515625" style="43" customWidth="1"/>
    <col min="14597" max="14597" width="15.28515625" style="43" customWidth="1"/>
    <col min="14598" max="14848" width="9.140625" style="43"/>
    <col min="14849" max="14849" width="24.140625" style="43" customWidth="1"/>
    <col min="14850" max="14850" width="48.7109375" style="43" customWidth="1"/>
    <col min="14851" max="14851" width="14.140625" style="43" customWidth="1"/>
    <col min="14852" max="14852" width="14.28515625" style="43" customWidth="1"/>
    <col min="14853" max="14853" width="15.28515625" style="43" customWidth="1"/>
    <col min="14854" max="15104" width="9.140625" style="43"/>
    <col min="15105" max="15105" width="24.140625" style="43" customWidth="1"/>
    <col min="15106" max="15106" width="48.7109375" style="43" customWidth="1"/>
    <col min="15107" max="15107" width="14.140625" style="43" customWidth="1"/>
    <col min="15108" max="15108" width="14.28515625" style="43" customWidth="1"/>
    <col min="15109" max="15109" width="15.28515625" style="43" customWidth="1"/>
    <col min="15110" max="15360" width="9.140625" style="43"/>
    <col min="15361" max="15361" width="24.140625" style="43" customWidth="1"/>
    <col min="15362" max="15362" width="48.7109375" style="43" customWidth="1"/>
    <col min="15363" max="15363" width="14.140625" style="43" customWidth="1"/>
    <col min="15364" max="15364" width="14.28515625" style="43" customWidth="1"/>
    <col min="15365" max="15365" width="15.28515625" style="43" customWidth="1"/>
    <col min="15366" max="15616" width="9.140625" style="43"/>
    <col min="15617" max="15617" width="24.140625" style="43" customWidth="1"/>
    <col min="15618" max="15618" width="48.7109375" style="43" customWidth="1"/>
    <col min="15619" max="15619" width="14.140625" style="43" customWidth="1"/>
    <col min="15620" max="15620" width="14.28515625" style="43" customWidth="1"/>
    <col min="15621" max="15621" width="15.28515625" style="43" customWidth="1"/>
    <col min="15622" max="15872" width="9.140625" style="43"/>
    <col min="15873" max="15873" width="24.140625" style="43" customWidth="1"/>
    <col min="15874" max="15874" width="48.7109375" style="43" customWidth="1"/>
    <col min="15875" max="15875" width="14.140625" style="43" customWidth="1"/>
    <col min="15876" max="15876" width="14.28515625" style="43" customWidth="1"/>
    <col min="15877" max="15877" width="15.28515625" style="43" customWidth="1"/>
    <col min="15878" max="16128" width="9.140625" style="43"/>
    <col min="16129" max="16129" width="24.140625" style="43" customWidth="1"/>
    <col min="16130" max="16130" width="48.7109375" style="43" customWidth="1"/>
    <col min="16131" max="16131" width="14.140625" style="43" customWidth="1"/>
    <col min="16132" max="16132" width="14.28515625" style="43" customWidth="1"/>
    <col min="16133" max="16133" width="15.28515625" style="43" customWidth="1"/>
    <col min="16134" max="16384" width="9.140625" style="43"/>
  </cols>
  <sheetData>
    <row r="1" spans="1:5" x14ac:dyDescent="0.25">
      <c r="A1" s="216"/>
      <c r="B1" s="216"/>
      <c r="C1" s="219"/>
      <c r="D1" s="219"/>
      <c r="E1" s="220" t="s">
        <v>219</v>
      </c>
    </row>
    <row r="2" spans="1:5" x14ac:dyDescent="0.25">
      <c r="A2" s="216"/>
      <c r="B2" s="216"/>
      <c r="C2" s="219"/>
      <c r="D2" s="219"/>
      <c r="E2" s="221" t="s">
        <v>220</v>
      </c>
    </row>
    <row r="3" spans="1:5" x14ac:dyDescent="0.25">
      <c r="A3" s="216"/>
      <c r="B3" s="216"/>
      <c r="C3" s="219"/>
      <c r="D3" s="219"/>
      <c r="E3" s="221" t="s">
        <v>221</v>
      </c>
    </row>
    <row r="4" spans="1:5" x14ac:dyDescent="0.25">
      <c r="A4" s="217"/>
      <c r="B4" s="216"/>
      <c r="C4" s="219"/>
      <c r="D4" s="219"/>
      <c r="E4" s="221" t="s">
        <v>523</v>
      </c>
    </row>
    <row r="5" spans="1:5" x14ac:dyDescent="0.25">
      <c r="A5" s="217"/>
      <c r="B5" s="216"/>
      <c r="C5" s="222"/>
      <c r="D5" s="222"/>
      <c r="E5" s="219"/>
    </row>
    <row r="6" spans="1:5" ht="15.6" customHeight="1" x14ac:dyDescent="0.25">
      <c r="A6" s="510" t="s">
        <v>413</v>
      </c>
      <c r="B6" s="510"/>
      <c r="C6" s="510"/>
      <c r="D6" s="510"/>
      <c r="E6" s="510"/>
    </row>
    <row r="7" spans="1:5" ht="15.6" customHeight="1" x14ac:dyDescent="0.25">
      <c r="A7" s="511"/>
      <c r="B7" s="511"/>
      <c r="C7" s="511"/>
      <c r="D7" s="511"/>
      <c r="E7" s="511"/>
    </row>
    <row r="8" spans="1:5" ht="15.6" customHeight="1" x14ac:dyDescent="0.25">
      <c r="A8" s="511"/>
      <c r="B8" s="511"/>
      <c r="C8" s="511"/>
      <c r="D8" s="511"/>
      <c r="E8" s="511"/>
    </row>
    <row r="9" spans="1:5" ht="87" customHeight="1" x14ac:dyDescent="0.25">
      <c r="A9" s="54" t="s">
        <v>161</v>
      </c>
      <c r="B9" s="54" t="s">
        <v>11</v>
      </c>
      <c r="C9" s="210" t="s">
        <v>163</v>
      </c>
      <c r="D9" s="210" t="s">
        <v>368</v>
      </c>
      <c r="E9" s="210" t="s">
        <v>370</v>
      </c>
    </row>
    <row r="10" spans="1:5" ht="60.75" x14ac:dyDescent="0.25">
      <c r="A10" s="55"/>
      <c r="B10" s="56" t="s">
        <v>165</v>
      </c>
      <c r="C10" s="203">
        <f>+C11+C26</f>
        <v>28085.924999999999</v>
      </c>
      <c r="D10" s="203">
        <f>+D11+D26</f>
        <v>0</v>
      </c>
      <c r="E10" s="203">
        <f t="shared" ref="E10:E27" si="0">C10+D10</f>
        <v>28085.924999999999</v>
      </c>
    </row>
    <row r="11" spans="1:5" ht="20.25" x14ac:dyDescent="0.25">
      <c r="A11" s="45"/>
      <c r="B11" s="46" t="s">
        <v>166</v>
      </c>
      <c r="C11" s="211">
        <f>+C12+C14+C17+C19+C21</f>
        <v>27048.2</v>
      </c>
      <c r="D11" s="211">
        <f>+D12+D14+D17+D19+D21</f>
        <v>0</v>
      </c>
      <c r="E11" s="211">
        <f t="shared" si="0"/>
        <v>27048.2</v>
      </c>
    </row>
    <row r="12" spans="1:5" ht="21" x14ac:dyDescent="0.25">
      <c r="A12" s="67" t="s">
        <v>167</v>
      </c>
      <c r="B12" s="68" t="s">
        <v>168</v>
      </c>
      <c r="C12" s="212">
        <f>SUM(C13:C13)</f>
        <v>2670</v>
      </c>
      <c r="D12" s="212">
        <f>D13</f>
        <v>0</v>
      </c>
      <c r="E12" s="212">
        <f t="shared" si="0"/>
        <v>2670</v>
      </c>
    </row>
    <row r="13" spans="1:5" ht="102" x14ac:dyDescent="0.25">
      <c r="A13" s="51" t="s">
        <v>227</v>
      </c>
      <c r="B13" s="51" t="s">
        <v>169</v>
      </c>
      <c r="C13" s="58">
        <v>2670</v>
      </c>
      <c r="D13" s="58"/>
      <c r="E13" s="58">
        <f t="shared" si="0"/>
        <v>2670</v>
      </c>
    </row>
    <row r="14" spans="1:5" ht="63" x14ac:dyDescent="0.25">
      <c r="A14" s="66" t="s">
        <v>170</v>
      </c>
      <c r="B14" s="50" t="s">
        <v>171</v>
      </c>
      <c r="C14" s="211">
        <f>SUM(C15:C16)</f>
        <v>2325.44</v>
      </c>
      <c r="D14" s="211">
        <f>D15+D16</f>
        <v>0</v>
      </c>
      <c r="E14" s="211">
        <f t="shared" si="0"/>
        <v>2325.44</v>
      </c>
    </row>
    <row r="15" spans="1:5" ht="89.25" x14ac:dyDescent="0.25">
      <c r="A15" s="51" t="s">
        <v>225</v>
      </c>
      <c r="B15" s="51" t="s">
        <v>344</v>
      </c>
      <c r="C15" s="199">
        <v>819.09</v>
      </c>
      <c r="D15" s="199"/>
      <c r="E15" s="199">
        <f t="shared" si="0"/>
        <v>819.09</v>
      </c>
    </row>
    <row r="16" spans="1:5" ht="102" x14ac:dyDescent="0.25">
      <c r="A16" s="51" t="s">
        <v>226</v>
      </c>
      <c r="B16" s="51" t="s">
        <v>172</v>
      </c>
      <c r="C16" s="199">
        <v>1506.35</v>
      </c>
      <c r="D16" s="199"/>
      <c r="E16" s="199">
        <f t="shared" si="0"/>
        <v>1506.35</v>
      </c>
    </row>
    <row r="17" spans="1:5" ht="26.25" customHeight="1" x14ac:dyDescent="0.25">
      <c r="A17" s="66" t="s">
        <v>173</v>
      </c>
      <c r="B17" s="44" t="s">
        <v>174</v>
      </c>
      <c r="C17" s="211">
        <f>+C18</f>
        <v>345</v>
      </c>
      <c r="D17" s="211">
        <f>D18</f>
        <v>0</v>
      </c>
      <c r="E17" s="211">
        <f t="shared" si="0"/>
        <v>345</v>
      </c>
    </row>
    <row r="18" spans="1:5" ht="15.75" customHeight="1" x14ac:dyDescent="0.25">
      <c r="A18" s="51" t="s">
        <v>175</v>
      </c>
      <c r="B18" s="51" t="s">
        <v>174</v>
      </c>
      <c r="C18" s="57">
        <v>345</v>
      </c>
      <c r="D18" s="57"/>
      <c r="E18" s="57">
        <f t="shared" si="0"/>
        <v>345</v>
      </c>
    </row>
    <row r="19" spans="1:5" ht="31.5" x14ac:dyDescent="0.25">
      <c r="A19" s="66" t="s">
        <v>176</v>
      </c>
      <c r="B19" s="50" t="s">
        <v>177</v>
      </c>
      <c r="C19" s="211">
        <f>+C20</f>
        <v>1657.76</v>
      </c>
      <c r="D19" s="211">
        <f>D20</f>
        <v>0</v>
      </c>
      <c r="E19" s="211">
        <f t="shared" si="0"/>
        <v>1657.76</v>
      </c>
    </row>
    <row r="20" spans="1:5" ht="63.75" x14ac:dyDescent="0.25">
      <c r="A20" s="51" t="s">
        <v>228</v>
      </c>
      <c r="B20" s="51" t="s">
        <v>178</v>
      </c>
      <c r="C20" s="58">
        <v>1657.76</v>
      </c>
      <c r="D20" s="58"/>
      <c r="E20" s="58">
        <f t="shared" si="0"/>
        <v>1657.76</v>
      </c>
    </row>
    <row r="21" spans="1:5" ht="25.5" x14ac:dyDescent="0.25">
      <c r="A21" s="49" t="s">
        <v>179</v>
      </c>
      <c r="B21" s="50" t="s">
        <v>180</v>
      </c>
      <c r="C21" s="59">
        <f>+C22+C24</f>
        <v>20050</v>
      </c>
      <c r="D21" s="59">
        <f>+D22+D24</f>
        <v>0</v>
      </c>
      <c r="E21" s="59">
        <f t="shared" si="0"/>
        <v>20050</v>
      </c>
    </row>
    <row r="22" spans="1:5" ht="25.5" x14ac:dyDescent="0.25">
      <c r="A22" s="51" t="s">
        <v>181</v>
      </c>
      <c r="B22" s="51" t="s">
        <v>182</v>
      </c>
      <c r="C22" s="59">
        <f>+C23</f>
        <v>13100</v>
      </c>
      <c r="D22" s="59">
        <f>D23</f>
        <v>0</v>
      </c>
      <c r="E22" s="59">
        <f t="shared" si="0"/>
        <v>13100</v>
      </c>
    </row>
    <row r="23" spans="1:5" ht="51" x14ac:dyDescent="0.25">
      <c r="A23" s="51" t="s">
        <v>229</v>
      </c>
      <c r="B23" s="51" t="s">
        <v>183</v>
      </c>
      <c r="C23" s="60">
        <v>13100</v>
      </c>
      <c r="D23" s="60"/>
      <c r="E23" s="60">
        <f t="shared" si="0"/>
        <v>13100</v>
      </c>
    </row>
    <row r="24" spans="1:5" ht="25.5" x14ac:dyDescent="0.25">
      <c r="A24" s="51" t="s">
        <v>184</v>
      </c>
      <c r="B24" s="51" t="s">
        <v>185</v>
      </c>
      <c r="C24" s="59">
        <f>+C25</f>
        <v>6950</v>
      </c>
      <c r="D24" s="59">
        <f>D25</f>
        <v>0</v>
      </c>
      <c r="E24" s="59">
        <f t="shared" si="0"/>
        <v>6950</v>
      </c>
    </row>
    <row r="25" spans="1:5" ht="51" x14ac:dyDescent="0.25">
      <c r="A25" s="51" t="s">
        <v>230</v>
      </c>
      <c r="B25" s="51" t="s">
        <v>186</v>
      </c>
      <c r="C25" s="60">
        <v>6950</v>
      </c>
      <c r="D25" s="60"/>
      <c r="E25" s="60">
        <f t="shared" si="0"/>
        <v>6950</v>
      </c>
    </row>
    <row r="26" spans="1:5" ht="20.25" x14ac:dyDescent="0.25">
      <c r="A26" s="51"/>
      <c r="B26" s="46" t="s">
        <v>187</v>
      </c>
      <c r="C26" s="211">
        <f>+C27</f>
        <v>1037.7249999999999</v>
      </c>
      <c r="D26" s="211">
        <f>+D27</f>
        <v>0</v>
      </c>
      <c r="E26" s="211">
        <f t="shared" si="0"/>
        <v>1037.7249999999999</v>
      </c>
    </row>
    <row r="27" spans="1:5" ht="63.75" x14ac:dyDescent="0.25">
      <c r="A27" s="49" t="s">
        <v>188</v>
      </c>
      <c r="B27" s="44" t="s">
        <v>189</v>
      </c>
      <c r="C27" s="211">
        <f>SUM(C28:C29)</f>
        <v>1037.7249999999999</v>
      </c>
      <c r="D27" s="211">
        <f>SUM(D28:D29)</f>
        <v>0</v>
      </c>
      <c r="E27" s="211">
        <f t="shared" si="0"/>
        <v>1037.7249999999999</v>
      </c>
    </row>
    <row r="28" spans="1:5" ht="89.25" x14ac:dyDescent="0.25">
      <c r="A28" s="61" t="s">
        <v>190</v>
      </c>
      <c r="B28" s="61" t="s">
        <v>191</v>
      </c>
      <c r="C28" s="213">
        <v>144.495</v>
      </c>
      <c r="D28" s="213"/>
      <c r="E28" s="199">
        <f t="shared" ref="E28:E29" si="1">C28+D28</f>
        <v>144.495</v>
      </c>
    </row>
    <row r="29" spans="1:5" ht="102" x14ac:dyDescent="0.25">
      <c r="A29" s="51" t="s">
        <v>192</v>
      </c>
      <c r="B29" s="51" t="s">
        <v>193</v>
      </c>
      <c r="C29" s="213">
        <v>893.23</v>
      </c>
      <c r="D29" s="213"/>
      <c r="E29" s="199">
        <f t="shared" si="1"/>
        <v>893.23</v>
      </c>
    </row>
    <row r="30" spans="1:5" ht="24" x14ac:dyDescent="0.25">
      <c r="A30" s="72" t="s">
        <v>194</v>
      </c>
      <c r="B30" s="54" t="s">
        <v>195</v>
      </c>
      <c r="C30" s="203">
        <f>+C31</f>
        <v>25613.649999999998</v>
      </c>
      <c r="D30" s="203">
        <f>+D31</f>
        <v>0</v>
      </c>
      <c r="E30" s="203">
        <f>C30+D30</f>
        <v>25613.649999999998</v>
      </c>
    </row>
    <row r="31" spans="1:5" ht="51.75" thickBot="1" x14ac:dyDescent="0.3">
      <c r="A31" s="234" t="s">
        <v>196</v>
      </c>
      <c r="B31" s="235" t="s">
        <v>197</v>
      </c>
      <c r="C31" s="236">
        <f>+C32+C33+C37+C40</f>
        <v>25613.649999999998</v>
      </c>
      <c r="D31" s="236">
        <f>+D32+D33+D37+D40</f>
        <v>0</v>
      </c>
      <c r="E31" s="236">
        <f>C31+D31</f>
        <v>25613.649999999998</v>
      </c>
    </row>
    <row r="32" spans="1:5" ht="51.75" customHeight="1" thickBot="1" x14ac:dyDescent="0.3">
      <c r="A32" s="237" t="s">
        <v>198</v>
      </c>
      <c r="B32" s="238" t="s">
        <v>199</v>
      </c>
      <c r="C32" s="239">
        <f>3878.3+12926.7</f>
        <v>16805</v>
      </c>
      <c r="D32" s="239"/>
      <c r="E32" s="240">
        <f>C32+D32</f>
        <v>16805</v>
      </c>
    </row>
    <row r="33" spans="1:5" ht="38.25" x14ac:dyDescent="0.25">
      <c r="A33" s="223" t="s">
        <v>200</v>
      </c>
      <c r="B33" s="224" t="s">
        <v>201</v>
      </c>
      <c r="C33" s="225">
        <f>SUM(C34:C36)</f>
        <v>8507.73</v>
      </c>
      <c r="D33" s="225">
        <f>SUM(D34:D36)</f>
        <v>0</v>
      </c>
      <c r="E33" s="226">
        <f>C33+D33</f>
        <v>8507.73</v>
      </c>
    </row>
    <row r="34" spans="1:5" s="71" customFormat="1" ht="48.75" customHeight="1" x14ac:dyDescent="0.2">
      <c r="A34" s="227" t="s">
        <v>202</v>
      </c>
      <c r="B34" s="69" t="s">
        <v>203</v>
      </c>
      <c r="C34" s="214">
        <v>4105.21</v>
      </c>
      <c r="D34" s="214"/>
      <c r="E34" s="228">
        <f>C34+D34</f>
        <v>4105.21</v>
      </c>
    </row>
    <row r="35" spans="1:5" ht="25.5" x14ac:dyDescent="0.25">
      <c r="A35" s="229" t="s">
        <v>204</v>
      </c>
      <c r="B35" s="51" t="s">
        <v>205</v>
      </c>
      <c r="C35" s="199">
        <f>793.9+1899.4</f>
        <v>2693.3</v>
      </c>
      <c r="D35" s="199"/>
      <c r="E35" s="228">
        <f t="shared" ref="E35:E36" si="2">C35+D35</f>
        <v>2693.3</v>
      </c>
    </row>
    <row r="36" spans="1:5" ht="42.75" customHeight="1" thickBot="1" x14ac:dyDescent="0.3">
      <c r="A36" s="230" t="s">
        <v>206</v>
      </c>
      <c r="B36" s="231" t="s">
        <v>207</v>
      </c>
      <c r="C36" s="232">
        <v>1709.22</v>
      </c>
      <c r="D36" s="232"/>
      <c r="E36" s="233">
        <f t="shared" si="2"/>
        <v>1709.22</v>
      </c>
    </row>
    <row r="37" spans="1:5" ht="46.5" customHeight="1" x14ac:dyDescent="0.25">
      <c r="A37" s="223" t="s">
        <v>208</v>
      </c>
      <c r="B37" s="224" t="s">
        <v>209</v>
      </c>
      <c r="C37" s="241">
        <f>SUM(C38:C39)</f>
        <v>300.91999999999996</v>
      </c>
      <c r="D37" s="241">
        <f>SUM(D38:D39)</f>
        <v>0</v>
      </c>
      <c r="E37" s="242">
        <f t="shared" ref="E37:E41" si="3">C37+D37</f>
        <v>300.91999999999996</v>
      </c>
    </row>
    <row r="38" spans="1:5" ht="54" customHeight="1" x14ac:dyDescent="0.25">
      <c r="A38" s="229" t="s">
        <v>210</v>
      </c>
      <c r="B38" s="51" t="s">
        <v>211</v>
      </c>
      <c r="C38" s="213">
        <v>3.52</v>
      </c>
      <c r="D38" s="213"/>
      <c r="E38" s="243">
        <f t="shared" si="3"/>
        <v>3.52</v>
      </c>
    </row>
    <row r="39" spans="1:5" ht="50.25" customHeight="1" thickBot="1" x14ac:dyDescent="0.3">
      <c r="A39" s="230" t="s">
        <v>212</v>
      </c>
      <c r="B39" s="231" t="s">
        <v>213</v>
      </c>
      <c r="C39" s="244">
        <v>297.39999999999998</v>
      </c>
      <c r="D39" s="244"/>
      <c r="E39" s="243">
        <f t="shared" si="3"/>
        <v>297.39999999999998</v>
      </c>
    </row>
    <row r="40" spans="1:5" ht="23.25" customHeight="1" x14ac:dyDescent="0.25">
      <c r="A40" s="223" t="s">
        <v>214</v>
      </c>
      <c r="B40" s="224" t="s">
        <v>102</v>
      </c>
      <c r="C40" s="247">
        <f>C41</f>
        <v>0</v>
      </c>
      <c r="D40" s="247">
        <f>D41</f>
        <v>0</v>
      </c>
      <c r="E40" s="248">
        <f t="shared" si="3"/>
        <v>0</v>
      </c>
    </row>
    <row r="41" spans="1:5" ht="39" thickBot="1" x14ac:dyDescent="0.3">
      <c r="A41" s="230" t="s">
        <v>215</v>
      </c>
      <c r="B41" s="231" t="s">
        <v>216</v>
      </c>
      <c r="C41" s="232">
        <v>0</v>
      </c>
      <c r="D41" s="232"/>
      <c r="E41" s="249">
        <f t="shared" si="3"/>
        <v>0</v>
      </c>
    </row>
    <row r="42" spans="1:5" ht="19.5" thickBot="1" x14ac:dyDescent="0.3">
      <c r="A42" s="250"/>
      <c r="B42" s="251" t="s">
        <v>217</v>
      </c>
      <c r="C42" s="252">
        <f>+C30+C10</f>
        <v>53699.574999999997</v>
      </c>
      <c r="D42" s="252">
        <f>+D30+D10</f>
        <v>0</v>
      </c>
      <c r="E42" s="253">
        <f>C42+D42</f>
        <v>53699.574999999997</v>
      </c>
    </row>
    <row r="43" spans="1:5" ht="14.25" customHeight="1" x14ac:dyDescent="0.25"/>
  </sheetData>
  <mergeCells count="1">
    <mergeCell ref="A6:E8"/>
  </mergeCells>
  <pageMargins left="0.98425196850393704" right="0.39370078740157483" top="0.39370078740157483" bottom="0.39370078740157483" header="0" footer="0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43"/>
  <sheetViews>
    <sheetView topLeftCell="A40" workbookViewId="0">
      <selection activeCell="A44" sqref="A44:XFD45"/>
    </sheetView>
  </sheetViews>
  <sheetFormatPr defaultRowHeight="15" x14ac:dyDescent="0.25"/>
  <cols>
    <col min="1" max="1" width="20.85546875" style="407" customWidth="1"/>
    <col min="2" max="2" width="35" style="407" customWidth="1"/>
    <col min="3" max="3" width="13.5703125" style="209" customWidth="1"/>
    <col min="4" max="4" width="11.85546875" style="209" customWidth="1"/>
    <col min="5" max="5" width="13.5703125" style="209" customWidth="1"/>
    <col min="6" max="256" width="9.140625" style="407"/>
    <col min="257" max="257" width="24.140625" style="407" customWidth="1"/>
    <col min="258" max="258" width="48.7109375" style="407" customWidth="1"/>
    <col min="259" max="259" width="14.140625" style="407" customWidth="1"/>
    <col min="260" max="260" width="14.28515625" style="407" customWidth="1"/>
    <col min="261" max="261" width="15.28515625" style="407" customWidth="1"/>
    <col min="262" max="512" width="9.140625" style="407"/>
    <col min="513" max="513" width="24.140625" style="407" customWidth="1"/>
    <col min="514" max="514" width="48.7109375" style="407" customWidth="1"/>
    <col min="515" max="515" width="14.140625" style="407" customWidth="1"/>
    <col min="516" max="516" width="14.28515625" style="407" customWidth="1"/>
    <col min="517" max="517" width="15.28515625" style="407" customWidth="1"/>
    <col min="518" max="768" width="9.140625" style="407"/>
    <col min="769" max="769" width="24.140625" style="407" customWidth="1"/>
    <col min="770" max="770" width="48.7109375" style="407" customWidth="1"/>
    <col min="771" max="771" width="14.140625" style="407" customWidth="1"/>
    <col min="772" max="772" width="14.28515625" style="407" customWidth="1"/>
    <col min="773" max="773" width="15.28515625" style="407" customWidth="1"/>
    <col min="774" max="1024" width="9.140625" style="407"/>
    <col min="1025" max="1025" width="24.140625" style="407" customWidth="1"/>
    <col min="1026" max="1026" width="48.7109375" style="407" customWidth="1"/>
    <col min="1027" max="1027" width="14.140625" style="407" customWidth="1"/>
    <col min="1028" max="1028" width="14.28515625" style="407" customWidth="1"/>
    <col min="1029" max="1029" width="15.28515625" style="407" customWidth="1"/>
    <col min="1030" max="1280" width="9.140625" style="407"/>
    <col min="1281" max="1281" width="24.140625" style="407" customWidth="1"/>
    <col min="1282" max="1282" width="48.7109375" style="407" customWidth="1"/>
    <col min="1283" max="1283" width="14.140625" style="407" customWidth="1"/>
    <col min="1284" max="1284" width="14.28515625" style="407" customWidth="1"/>
    <col min="1285" max="1285" width="15.28515625" style="407" customWidth="1"/>
    <col min="1286" max="1536" width="9.140625" style="407"/>
    <col min="1537" max="1537" width="24.140625" style="407" customWidth="1"/>
    <col min="1538" max="1538" width="48.7109375" style="407" customWidth="1"/>
    <col min="1539" max="1539" width="14.140625" style="407" customWidth="1"/>
    <col min="1540" max="1540" width="14.28515625" style="407" customWidth="1"/>
    <col min="1541" max="1541" width="15.28515625" style="407" customWidth="1"/>
    <col min="1542" max="1792" width="9.140625" style="407"/>
    <col min="1793" max="1793" width="24.140625" style="407" customWidth="1"/>
    <col min="1794" max="1794" width="48.7109375" style="407" customWidth="1"/>
    <col min="1795" max="1795" width="14.140625" style="407" customWidth="1"/>
    <col min="1796" max="1796" width="14.28515625" style="407" customWidth="1"/>
    <col min="1797" max="1797" width="15.28515625" style="407" customWidth="1"/>
    <col min="1798" max="2048" width="9.140625" style="407"/>
    <col min="2049" max="2049" width="24.140625" style="407" customWidth="1"/>
    <col min="2050" max="2050" width="48.7109375" style="407" customWidth="1"/>
    <col min="2051" max="2051" width="14.140625" style="407" customWidth="1"/>
    <col min="2052" max="2052" width="14.28515625" style="407" customWidth="1"/>
    <col min="2053" max="2053" width="15.28515625" style="407" customWidth="1"/>
    <col min="2054" max="2304" width="9.140625" style="407"/>
    <col min="2305" max="2305" width="24.140625" style="407" customWidth="1"/>
    <col min="2306" max="2306" width="48.7109375" style="407" customWidth="1"/>
    <col min="2307" max="2307" width="14.140625" style="407" customWidth="1"/>
    <col min="2308" max="2308" width="14.28515625" style="407" customWidth="1"/>
    <col min="2309" max="2309" width="15.28515625" style="407" customWidth="1"/>
    <col min="2310" max="2560" width="9.140625" style="407"/>
    <col min="2561" max="2561" width="24.140625" style="407" customWidth="1"/>
    <col min="2562" max="2562" width="48.7109375" style="407" customWidth="1"/>
    <col min="2563" max="2563" width="14.140625" style="407" customWidth="1"/>
    <col min="2564" max="2564" width="14.28515625" style="407" customWidth="1"/>
    <col min="2565" max="2565" width="15.28515625" style="407" customWidth="1"/>
    <col min="2566" max="2816" width="9.140625" style="407"/>
    <col min="2817" max="2817" width="24.140625" style="407" customWidth="1"/>
    <col min="2818" max="2818" width="48.7109375" style="407" customWidth="1"/>
    <col min="2819" max="2819" width="14.140625" style="407" customWidth="1"/>
    <col min="2820" max="2820" width="14.28515625" style="407" customWidth="1"/>
    <col min="2821" max="2821" width="15.28515625" style="407" customWidth="1"/>
    <col min="2822" max="3072" width="9.140625" style="407"/>
    <col min="3073" max="3073" width="24.140625" style="407" customWidth="1"/>
    <col min="3074" max="3074" width="48.7109375" style="407" customWidth="1"/>
    <col min="3075" max="3075" width="14.140625" style="407" customWidth="1"/>
    <col min="3076" max="3076" width="14.28515625" style="407" customWidth="1"/>
    <col min="3077" max="3077" width="15.28515625" style="407" customWidth="1"/>
    <col min="3078" max="3328" width="9.140625" style="407"/>
    <col min="3329" max="3329" width="24.140625" style="407" customWidth="1"/>
    <col min="3330" max="3330" width="48.7109375" style="407" customWidth="1"/>
    <col min="3331" max="3331" width="14.140625" style="407" customWidth="1"/>
    <col min="3332" max="3332" width="14.28515625" style="407" customWidth="1"/>
    <col min="3333" max="3333" width="15.28515625" style="407" customWidth="1"/>
    <col min="3334" max="3584" width="9.140625" style="407"/>
    <col min="3585" max="3585" width="24.140625" style="407" customWidth="1"/>
    <col min="3586" max="3586" width="48.7109375" style="407" customWidth="1"/>
    <col min="3587" max="3587" width="14.140625" style="407" customWidth="1"/>
    <col min="3588" max="3588" width="14.28515625" style="407" customWidth="1"/>
    <col min="3589" max="3589" width="15.28515625" style="407" customWidth="1"/>
    <col min="3590" max="3840" width="9.140625" style="407"/>
    <col min="3841" max="3841" width="24.140625" style="407" customWidth="1"/>
    <col min="3842" max="3842" width="48.7109375" style="407" customWidth="1"/>
    <col min="3843" max="3843" width="14.140625" style="407" customWidth="1"/>
    <col min="3844" max="3844" width="14.28515625" style="407" customWidth="1"/>
    <col min="3845" max="3845" width="15.28515625" style="407" customWidth="1"/>
    <col min="3846" max="4096" width="9.140625" style="407"/>
    <col min="4097" max="4097" width="24.140625" style="407" customWidth="1"/>
    <col min="4098" max="4098" width="48.7109375" style="407" customWidth="1"/>
    <col min="4099" max="4099" width="14.140625" style="407" customWidth="1"/>
    <col min="4100" max="4100" width="14.28515625" style="407" customWidth="1"/>
    <col min="4101" max="4101" width="15.28515625" style="407" customWidth="1"/>
    <col min="4102" max="4352" width="9.140625" style="407"/>
    <col min="4353" max="4353" width="24.140625" style="407" customWidth="1"/>
    <col min="4354" max="4354" width="48.7109375" style="407" customWidth="1"/>
    <col min="4355" max="4355" width="14.140625" style="407" customWidth="1"/>
    <col min="4356" max="4356" width="14.28515625" style="407" customWidth="1"/>
    <col min="4357" max="4357" width="15.28515625" style="407" customWidth="1"/>
    <col min="4358" max="4608" width="9.140625" style="407"/>
    <col min="4609" max="4609" width="24.140625" style="407" customWidth="1"/>
    <col min="4610" max="4610" width="48.7109375" style="407" customWidth="1"/>
    <col min="4611" max="4611" width="14.140625" style="407" customWidth="1"/>
    <col min="4612" max="4612" width="14.28515625" style="407" customWidth="1"/>
    <col min="4613" max="4613" width="15.28515625" style="407" customWidth="1"/>
    <col min="4614" max="4864" width="9.140625" style="407"/>
    <col min="4865" max="4865" width="24.140625" style="407" customWidth="1"/>
    <col min="4866" max="4866" width="48.7109375" style="407" customWidth="1"/>
    <col min="4867" max="4867" width="14.140625" style="407" customWidth="1"/>
    <col min="4868" max="4868" width="14.28515625" style="407" customWidth="1"/>
    <col min="4869" max="4869" width="15.28515625" style="407" customWidth="1"/>
    <col min="4870" max="5120" width="9.140625" style="407"/>
    <col min="5121" max="5121" width="24.140625" style="407" customWidth="1"/>
    <col min="5122" max="5122" width="48.7109375" style="407" customWidth="1"/>
    <col min="5123" max="5123" width="14.140625" style="407" customWidth="1"/>
    <col min="5124" max="5124" width="14.28515625" style="407" customWidth="1"/>
    <col min="5125" max="5125" width="15.28515625" style="407" customWidth="1"/>
    <col min="5126" max="5376" width="9.140625" style="407"/>
    <col min="5377" max="5377" width="24.140625" style="407" customWidth="1"/>
    <col min="5378" max="5378" width="48.7109375" style="407" customWidth="1"/>
    <col min="5379" max="5379" width="14.140625" style="407" customWidth="1"/>
    <col min="5380" max="5380" width="14.28515625" style="407" customWidth="1"/>
    <col min="5381" max="5381" width="15.28515625" style="407" customWidth="1"/>
    <col min="5382" max="5632" width="9.140625" style="407"/>
    <col min="5633" max="5633" width="24.140625" style="407" customWidth="1"/>
    <col min="5634" max="5634" width="48.7109375" style="407" customWidth="1"/>
    <col min="5635" max="5635" width="14.140625" style="407" customWidth="1"/>
    <col min="5636" max="5636" width="14.28515625" style="407" customWidth="1"/>
    <col min="5637" max="5637" width="15.28515625" style="407" customWidth="1"/>
    <col min="5638" max="5888" width="9.140625" style="407"/>
    <col min="5889" max="5889" width="24.140625" style="407" customWidth="1"/>
    <col min="5890" max="5890" width="48.7109375" style="407" customWidth="1"/>
    <col min="5891" max="5891" width="14.140625" style="407" customWidth="1"/>
    <col min="5892" max="5892" width="14.28515625" style="407" customWidth="1"/>
    <col min="5893" max="5893" width="15.28515625" style="407" customWidth="1"/>
    <col min="5894" max="6144" width="9.140625" style="407"/>
    <col min="6145" max="6145" width="24.140625" style="407" customWidth="1"/>
    <col min="6146" max="6146" width="48.7109375" style="407" customWidth="1"/>
    <col min="6147" max="6147" width="14.140625" style="407" customWidth="1"/>
    <col min="6148" max="6148" width="14.28515625" style="407" customWidth="1"/>
    <col min="6149" max="6149" width="15.28515625" style="407" customWidth="1"/>
    <col min="6150" max="6400" width="9.140625" style="407"/>
    <col min="6401" max="6401" width="24.140625" style="407" customWidth="1"/>
    <col min="6402" max="6402" width="48.7109375" style="407" customWidth="1"/>
    <col min="6403" max="6403" width="14.140625" style="407" customWidth="1"/>
    <col min="6404" max="6404" width="14.28515625" style="407" customWidth="1"/>
    <col min="6405" max="6405" width="15.28515625" style="407" customWidth="1"/>
    <col min="6406" max="6656" width="9.140625" style="407"/>
    <col min="6657" max="6657" width="24.140625" style="407" customWidth="1"/>
    <col min="6658" max="6658" width="48.7109375" style="407" customWidth="1"/>
    <col min="6659" max="6659" width="14.140625" style="407" customWidth="1"/>
    <col min="6660" max="6660" width="14.28515625" style="407" customWidth="1"/>
    <col min="6661" max="6661" width="15.28515625" style="407" customWidth="1"/>
    <col min="6662" max="6912" width="9.140625" style="407"/>
    <col min="6913" max="6913" width="24.140625" style="407" customWidth="1"/>
    <col min="6914" max="6914" width="48.7109375" style="407" customWidth="1"/>
    <col min="6915" max="6915" width="14.140625" style="407" customWidth="1"/>
    <col min="6916" max="6916" width="14.28515625" style="407" customWidth="1"/>
    <col min="6917" max="6917" width="15.28515625" style="407" customWidth="1"/>
    <col min="6918" max="7168" width="9.140625" style="407"/>
    <col min="7169" max="7169" width="24.140625" style="407" customWidth="1"/>
    <col min="7170" max="7170" width="48.7109375" style="407" customWidth="1"/>
    <col min="7171" max="7171" width="14.140625" style="407" customWidth="1"/>
    <col min="7172" max="7172" width="14.28515625" style="407" customWidth="1"/>
    <col min="7173" max="7173" width="15.28515625" style="407" customWidth="1"/>
    <col min="7174" max="7424" width="9.140625" style="407"/>
    <col min="7425" max="7425" width="24.140625" style="407" customWidth="1"/>
    <col min="7426" max="7426" width="48.7109375" style="407" customWidth="1"/>
    <col min="7427" max="7427" width="14.140625" style="407" customWidth="1"/>
    <col min="7428" max="7428" width="14.28515625" style="407" customWidth="1"/>
    <col min="7429" max="7429" width="15.28515625" style="407" customWidth="1"/>
    <col min="7430" max="7680" width="9.140625" style="407"/>
    <col min="7681" max="7681" width="24.140625" style="407" customWidth="1"/>
    <col min="7682" max="7682" width="48.7109375" style="407" customWidth="1"/>
    <col min="7683" max="7683" width="14.140625" style="407" customWidth="1"/>
    <col min="7684" max="7684" width="14.28515625" style="407" customWidth="1"/>
    <col min="7685" max="7685" width="15.28515625" style="407" customWidth="1"/>
    <col min="7686" max="7936" width="9.140625" style="407"/>
    <col min="7937" max="7937" width="24.140625" style="407" customWidth="1"/>
    <col min="7938" max="7938" width="48.7109375" style="407" customWidth="1"/>
    <col min="7939" max="7939" width="14.140625" style="407" customWidth="1"/>
    <col min="7940" max="7940" width="14.28515625" style="407" customWidth="1"/>
    <col min="7941" max="7941" width="15.28515625" style="407" customWidth="1"/>
    <col min="7942" max="8192" width="9.140625" style="407"/>
    <col min="8193" max="8193" width="24.140625" style="407" customWidth="1"/>
    <col min="8194" max="8194" width="48.7109375" style="407" customWidth="1"/>
    <col min="8195" max="8195" width="14.140625" style="407" customWidth="1"/>
    <col min="8196" max="8196" width="14.28515625" style="407" customWidth="1"/>
    <col min="8197" max="8197" width="15.28515625" style="407" customWidth="1"/>
    <col min="8198" max="8448" width="9.140625" style="407"/>
    <col min="8449" max="8449" width="24.140625" style="407" customWidth="1"/>
    <col min="8450" max="8450" width="48.7109375" style="407" customWidth="1"/>
    <col min="8451" max="8451" width="14.140625" style="407" customWidth="1"/>
    <col min="8452" max="8452" width="14.28515625" style="407" customWidth="1"/>
    <col min="8453" max="8453" width="15.28515625" style="407" customWidth="1"/>
    <col min="8454" max="8704" width="9.140625" style="407"/>
    <col min="8705" max="8705" width="24.140625" style="407" customWidth="1"/>
    <col min="8706" max="8706" width="48.7109375" style="407" customWidth="1"/>
    <col min="8707" max="8707" width="14.140625" style="407" customWidth="1"/>
    <col min="8708" max="8708" width="14.28515625" style="407" customWidth="1"/>
    <col min="8709" max="8709" width="15.28515625" style="407" customWidth="1"/>
    <col min="8710" max="8960" width="9.140625" style="407"/>
    <col min="8961" max="8961" width="24.140625" style="407" customWidth="1"/>
    <col min="8962" max="8962" width="48.7109375" style="407" customWidth="1"/>
    <col min="8963" max="8963" width="14.140625" style="407" customWidth="1"/>
    <col min="8964" max="8964" width="14.28515625" style="407" customWidth="1"/>
    <col min="8965" max="8965" width="15.28515625" style="407" customWidth="1"/>
    <col min="8966" max="9216" width="9.140625" style="407"/>
    <col min="9217" max="9217" width="24.140625" style="407" customWidth="1"/>
    <col min="9218" max="9218" width="48.7109375" style="407" customWidth="1"/>
    <col min="9219" max="9219" width="14.140625" style="407" customWidth="1"/>
    <col min="9220" max="9220" width="14.28515625" style="407" customWidth="1"/>
    <col min="9221" max="9221" width="15.28515625" style="407" customWidth="1"/>
    <col min="9222" max="9472" width="9.140625" style="407"/>
    <col min="9473" max="9473" width="24.140625" style="407" customWidth="1"/>
    <col min="9474" max="9474" width="48.7109375" style="407" customWidth="1"/>
    <col min="9475" max="9475" width="14.140625" style="407" customWidth="1"/>
    <col min="9476" max="9476" width="14.28515625" style="407" customWidth="1"/>
    <col min="9477" max="9477" width="15.28515625" style="407" customWidth="1"/>
    <col min="9478" max="9728" width="9.140625" style="407"/>
    <col min="9729" max="9729" width="24.140625" style="407" customWidth="1"/>
    <col min="9730" max="9730" width="48.7109375" style="407" customWidth="1"/>
    <col min="9731" max="9731" width="14.140625" style="407" customWidth="1"/>
    <col min="9732" max="9732" width="14.28515625" style="407" customWidth="1"/>
    <col min="9733" max="9733" width="15.28515625" style="407" customWidth="1"/>
    <col min="9734" max="9984" width="9.140625" style="407"/>
    <col min="9985" max="9985" width="24.140625" style="407" customWidth="1"/>
    <col min="9986" max="9986" width="48.7109375" style="407" customWidth="1"/>
    <col min="9987" max="9987" width="14.140625" style="407" customWidth="1"/>
    <col min="9988" max="9988" width="14.28515625" style="407" customWidth="1"/>
    <col min="9989" max="9989" width="15.28515625" style="407" customWidth="1"/>
    <col min="9990" max="10240" width="9.140625" style="407"/>
    <col min="10241" max="10241" width="24.140625" style="407" customWidth="1"/>
    <col min="10242" max="10242" width="48.7109375" style="407" customWidth="1"/>
    <col min="10243" max="10243" width="14.140625" style="407" customWidth="1"/>
    <col min="10244" max="10244" width="14.28515625" style="407" customWidth="1"/>
    <col min="10245" max="10245" width="15.28515625" style="407" customWidth="1"/>
    <col min="10246" max="10496" width="9.140625" style="407"/>
    <col min="10497" max="10497" width="24.140625" style="407" customWidth="1"/>
    <col min="10498" max="10498" width="48.7109375" style="407" customWidth="1"/>
    <col min="10499" max="10499" width="14.140625" style="407" customWidth="1"/>
    <col min="10500" max="10500" width="14.28515625" style="407" customWidth="1"/>
    <col min="10501" max="10501" width="15.28515625" style="407" customWidth="1"/>
    <col min="10502" max="10752" width="9.140625" style="407"/>
    <col min="10753" max="10753" width="24.140625" style="407" customWidth="1"/>
    <col min="10754" max="10754" width="48.7109375" style="407" customWidth="1"/>
    <col min="10755" max="10755" width="14.140625" style="407" customWidth="1"/>
    <col min="10756" max="10756" width="14.28515625" style="407" customWidth="1"/>
    <col min="10757" max="10757" width="15.28515625" style="407" customWidth="1"/>
    <col min="10758" max="11008" width="9.140625" style="407"/>
    <col min="11009" max="11009" width="24.140625" style="407" customWidth="1"/>
    <col min="11010" max="11010" width="48.7109375" style="407" customWidth="1"/>
    <col min="11011" max="11011" width="14.140625" style="407" customWidth="1"/>
    <col min="11012" max="11012" width="14.28515625" style="407" customWidth="1"/>
    <col min="11013" max="11013" width="15.28515625" style="407" customWidth="1"/>
    <col min="11014" max="11264" width="9.140625" style="407"/>
    <col min="11265" max="11265" width="24.140625" style="407" customWidth="1"/>
    <col min="11266" max="11266" width="48.7109375" style="407" customWidth="1"/>
    <col min="11267" max="11267" width="14.140625" style="407" customWidth="1"/>
    <col min="11268" max="11268" width="14.28515625" style="407" customWidth="1"/>
    <col min="11269" max="11269" width="15.28515625" style="407" customWidth="1"/>
    <col min="11270" max="11520" width="9.140625" style="407"/>
    <col min="11521" max="11521" width="24.140625" style="407" customWidth="1"/>
    <col min="11522" max="11522" width="48.7109375" style="407" customWidth="1"/>
    <col min="11523" max="11523" width="14.140625" style="407" customWidth="1"/>
    <col min="11524" max="11524" width="14.28515625" style="407" customWidth="1"/>
    <col min="11525" max="11525" width="15.28515625" style="407" customWidth="1"/>
    <col min="11526" max="11776" width="9.140625" style="407"/>
    <col min="11777" max="11777" width="24.140625" style="407" customWidth="1"/>
    <col min="11778" max="11778" width="48.7109375" style="407" customWidth="1"/>
    <col min="11779" max="11779" width="14.140625" style="407" customWidth="1"/>
    <col min="11780" max="11780" width="14.28515625" style="407" customWidth="1"/>
    <col min="11781" max="11781" width="15.28515625" style="407" customWidth="1"/>
    <col min="11782" max="12032" width="9.140625" style="407"/>
    <col min="12033" max="12033" width="24.140625" style="407" customWidth="1"/>
    <col min="12034" max="12034" width="48.7109375" style="407" customWidth="1"/>
    <col min="12035" max="12035" width="14.140625" style="407" customWidth="1"/>
    <col min="12036" max="12036" width="14.28515625" style="407" customWidth="1"/>
    <col min="12037" max="12037" width="15.28515625" style="407" customWidth="1"/>
    <col min="12038" max="12288" width="9.140625" style="407"/>
    <col min="12289" max="12289" width="24.140625" style="407" customWidth="1"/>
    <col min="12290" max="12290" width="48.7109375" style="407" customWidth="1"/>
    <col min="12291" max="12291" width="14.140625" style="407" customWidth="1"/>
    <col min="12292" max="12292" width="14.28515625" style="407" customWidth="1"/>
    <col min="12293" max="12293" width="15.28515625" style="407" customWidth="1"/>
    <col min="12294" max="12544" width="9.140625" style="407"/>
    <col min="12545" max="12545" width="24.140625" style="407" customWidth="1"/>
    <col min="12546" max="12546" width="48.7109375" style="407" customWidth="1"/>
    <col min="12547" max="12547" width="14.140625" style="407" customWidth="1"/>
    <col min="12548" max="12548" width="14.28515625" style="407" customWidth="1"/>
    <col min="12549" max="12549" width="15.28515625" style="407" customWidth="1"/>
    <col min="12550" max="12800" width="9.140625" style="407"/>
    <col min="12801" max="12801" width="24.140625" style="407" customWidth="1"/>
    <col min="12802" max="12802" width="48.7109375" style="407" customWidth="1"/>
    <col min="12803" max="12803" width="14.140625" style="407" customWidth="1"/>
    <col min="12804" max="12804" width="14.28515625" style="407" customWidth="1"/>
    <col min="12805" max="12805" width="15.28515625" style="407" customWidth="1"/>
    <col min="12806" max="13056" width="9.140625" style="407"/>
    <col min="13057" max="13057" width="24.140625" style="407" customWidth="1"/>
    <col min="13058" max="13058" width="48.7109375" style="407" customWidth="1"/>
    <col min="13059" max="13059" width="14.140625" style="407" customWidth="1"/>
    <col min="13060" max="13060" width="14.28515625" style="407" customWidth="1"/>
    <col min="13061" max="13061" width="15.28515625" style="407" customWidth="1"/>
    <col min="13062" max="13312" width="9.140625" style="407"/>
    <col min="13313" max="13313" width="24.140625" style="407" customWidth="1"/>
    <col min="13314" max="13314" width="48.7109375" style="407" customWidth="1"/>
    <col min="13315" max="13315" width="14.140625" style="407" customWidth="1"/>
    <col min="13316" max="13316" width="14.28515625" style="407" customWidth="1"/>
    <col min="13317" max="13317" width="15.28515625" style="407" customWidth="1"/>
    <col min="13318" max="13568" width="9.140625" style="407"/>
    <col min="13569" max="13569" width="24.140625" style="407" customWidth="1"/>
    <col min="13570" max="13570" width="48.7109375" style="407" customWidth="1"/>
    <col min="13571" max="13571" width="14.140625" style="407" customWidth="1"/>
    <col min="13572" max="13572" width="14.28515625" style="407" customWidth="1"/>
    <col min="13573" max="13573" width="15.28515625" style="407" customWidth="1"/>
    <col min="13574" max="13824" width="9.140625" style="407"/>
    <col min="13825" max="13825" width="24.140625" style="407" customWidth="1"/>
    <col min="13826" max="13826" width="48.7109375" style="407" customWidth="1"/>
    <col min="13827" max="13827" width="14.140625" style="407" customWidth="1"/>
    <col min="13828" max="13828" width="14.28515625" style="407" customWidth="1"/>
    <col min="13829" max="13829" width="15.28515625" style="407" customWidth="1"/>
    <col min="13830" max="14080" width="9.140625" style="407"/>
    <col min="14081" max="14081" width="24.140625" style="407" customWidth="1"/>
    <col min="14082" max="14082" width="48.7109375" style="407" customWidth="1"/>
    <col min="14083" max="14083" width="14.140625" style="407" customWidth="1"/>
    <col min="14084" max="14084" width="14.28515625" style="407" customWidth="1"/>
    <col min="14085" max="14085" width="15.28515625" style="407" customWidth="1"/>
    <col min="14086" max="14336" width="9.140625" style="407"/>
    <col min="14337" max="14337" width="24.140625" style="407" customWidth="1"/>
    <col min="14338" max="14338" width="48.7109375" style="407" customWidth="1"/>
    <col min="14339" max="14339" width="14.140625" style="407" customWidth="1"/>
    <col min="14340" max="14340" width="14.28515625" style="407" customWidth="1"/>
    <col min="14341" max="14341" width="15.28515625" style="407" customWidth="1"/>
    <col min="14342" max="14592" width="9.140625" style="407"/>
    <col min="14593" max="14593" width="24.140625" style="407" customWidth="1"/>
    <col min="14594" max="14594" width="48.7109375" style="407" customWidth="1"/>
    <col min="14595" max="14595" width="14.140625" style="407" customWidth="1"/>
    <col min="14596" max="14596" width="14.28515625" style="407" customWidth="1"/>
    <col min="14597" max="14597" width="15.28515625" style="407" customWidth="1"/>
    <col min="14598" max="14848" width="9.140625" style="407"/>
    <col min="14849" max="14849" width="24.140625" style="407" customWidth="1"/>
    <col min="14850" max="14850" width="48.7109375" style="407" customWidth="1"/>
    <col min="14851" max="14851" width="14.140625" style="407" customWidth="1"/>
    <col min="14852" max="14852" width="14.28515625" style="407" customWidth="1"/>
    <col min="14853" max="14853" width="15.28515625" style="407" customWidth="1"/>
    <col min="14854" max="15104" width="9.140625" style="407"/>
    <col min="15105" max="15105" width="24.140625" style="407" customWidth="1"/>
    <col min="15106" max="15106" width="48.7109375" style="407" customWidth="1"/>
    <col min="15107" max="15107" width="14.140625" style="407" customWidth="1"/>
    <col min="15108" max="15108" width="14.28515625" style="407" customWidth="1"/>
    <col min="15109" max="15109" width="15.28515625" style="407" customWidth="1"/>
    <col min="15110" max="15360" width="9.140625" style="407"/>
    <col min="15361" max="15361" width="24.140625" style="407" customWidth="1"/>
    <col min="15362" max="15362" width="48.7109375" style="407" customWidth="1"/>
    <col min="15363" max="15363" width="14.140625" style="407" customWidth="1"/>
    <col min="15364" max="15364" width="14.28515625" style="407" customWidth="1"/>
    <col min="15365" max="15365" width="15.28515625" style="407" customWidth="1"/>
    <col min="15366" max="15616" width="9.140625" style="407"/>
    <col min="15617" max="15617" width="24.140625" style="407" customWidth="1"/>
    <col min="15618" max="15618" width="48.7109375" style="407" customWidth="1"/>
    <col min="15619" max="15619" width="14.140625" style="407" customWidth="1"/>
    <col min="15620" max="15620" width="14.28515625" style="407" customWidth="1"/>
    <col min="15621" max="15621" width="15.28515625" style="407" customWidth="1"/>
    <col min="15622" max="15872" width="9.140625" style="407"/>
    <col min="15873" max="15873" width="24.140625" style="407" customWidth="1"/>
    <col min="15874" max="15874" width="48.7109375" style="407" customWidth="1"/>
    <col min="15875" max="15875" width="14.140625" style="407" customWidth="1"/>
    <col min="15876" max="15876" width="14.28515625" style="407" customWidth="1"/>
    <col min="15877" max="15877" width="15.28515625" style="407" customWidth="1"/>
    <col min="15878" max="16128" width="9.140625" style="407"/>
    <col min="16129" max="16129" width="24.140625" style="407" customWidth="1"/>
    <col min="16130" max="16130" width="48.7109375" style="407" customWidth="1"/>
    <col min="16131" max="16131" width="14.140625" style="407" customWidth="1"/>
    <col min="16132" max="16132" width="14.28515625" style="407" customWidth="1"/>
    <col min="16133" max="16133" width="15.28515625" style="407" customWidth="1"/>
    <col min="16134" max="16384" width="9.140625" style="407"/>
  </cols>
  <sheetData>
    <row r="1" spans="1:5" x14ac:dyDescent="0.25">
      <c r="A1" s="408"/>
      <c r="B1" s="408"/>
      <c r="C1" s="219"/>
      <c r="D1" s="219"/>
      <c r="E1" s="220" t="s">
        <v>219</v>
      </c>
    </row>
    <row r="2" spans="1:5" x14ac:dyDescent="0.25">
      <c r="A2" s="408"/>
      <c r="B2" s="408"/>
      <c r="C2" s="219"/>
      <c r="D2" s="219"/>
      <c r="E2" s="221" t="s">
        <v>220</v>
      </c>
    </row>
    <row r="3" spans="1:5" x14ac:dyDescent="0.25">
      <c r="A3" s="408"/>
      <c r="B3" s="408"/>
      <c r="C3" s="219"/>
      <c r="D3" s="219"/>
      <c r="E3" s="221" t="s">
        <v>221</v>
      </c>
    </row>
    <row r="4" spans="1:5" x14ac:dyDescent="0.25">
      <c r="A4" s="217"/>
      <c r="B4" s="408"/>
      <c r="C4" s="219"/>
      <c r="D4" s="219"/>
      <c r="E4" s="221" t="s">
        <v>450</v>
      </c>
    </row>
    <row r="5" spans="1:5" x14ac:dyDescent="0.25">
      <c r="A5" s="217"/>
      <c r="B5" s="408"/>
      <c r="C5" s="222"/>
      <c r="D5" s="222"/>
      <c r="E5" s="219"/>
    </row>
    <row r="6" spans="1:5" ht="15.6" customHeight="1" x14ac:dyDescent="0.25">
      <c r="A6" s="510" t="s">
        <v>411</v>
      </c>
      <c r="B6" s="510"/>
      <c r="C6" s="510"/>
      <c r="D6" s="510"/>
      <c r="E6" s="510"/>
    </row>
    <row r="7" spans="1:5" ht="15.6" customHeight="1" x14ac:dyDescent="0.25">
      <c r="A7" s="511"/>
      <c r="B7" s="511"/>
      <c r="C7" s="511"/>
      <c r="D7" s="511"/>
      <c r="E7" s="511"/>
    </row>
    <row r="8" spans="1:5" ht="15.6" customHeight="1" x14ac:dyDescent="0.25">
      <c r="A8" s="511"/>
      <c r="B8" s="511"/>
      <c r="C8" s="511"/>
      <c r="D8" s="511"/>
      <c r="E8" s="511"/>
    </row>
    <row r="9" spans="1:5" ht="87" customHeight="1" x14ac:dyDescent="0.25">
      <c r="A9" s="54" t="s">
        <v>161</v>
      </c>
      <c r="B9" s="54" t="s">
        <v>11</v>
      </c>
      <c r="C9" s="210" t="s">
        <v>163</v>
      </c>
      <c r="D9" s="210" t="s">
        <v>368</v>
      </c>
      <c r="E9" s="210" t="s">
        <v>370</v>
      </c>
    </row>
    <row r="10" spans="1:5" ht="60.75" x14ac:dyDescent="0.25">
      <c r="A10" s="55"/>
      <c r="B10" s="56" t="s">
        <v>165</v>
      </c>
      <c r="C10" s="203">
        <v>28085925</v>
      </c>
      <c r="D10" s="203">
        <f>+D11+D26</f>
        <v>0</v>
      </c>
      <c r="E10" s="203">
        <f t="shared" ref="E10:E29" si="0">C10+D10</f>
        <v>28085925</v>
      </c>
    </row>
    <row r="11" spans="1:5" ht="20.25" x14ac:dyDescent="0.25">
      <c r="A11" s="45"/>
      <c r="B11" s="46" t="s">
        <v>166</v>
      </c>
      <c r="C11" s="211">
        <v>27048200</v>
      </c>
      <c r="D11" s="211">
        <f>+D12+D14+D17+D19+D21</f>
        <v>0</v>
      </c>
      <c r="E11" s="211">
        <f t="shared" si="0"/>
        <v>27048200</v>
      </c>
    </row>
    <row r="12" spans="1:5" ht="21" x14ac:dyDescent="0.25">
      <c r="A12" s="67" t="s">
        <v>167</v>
      </c>
      <c r="B12" s="68" t="s">
        <v>168</v>
      </c>
      <c r="C12" s="212">
        <v>2670000</v>
      </c>
      <c r="D12" s="212">
        <f>D13</f>
        <v>0</v>
      </c>
      <c r="E12" s="212">
        <f t="shared" si="0"/>
        <v>2670000</v>
      </c>
    </row>
    <row r="13" spans="1:5" ht="102" x14ac:dyDescent="0.25">
      <c r="A13" s="51" t="s">
        <v>227</v>
      </c>
      <c r="B13" s="51" t="s">
        <v>169</v>
      </c>
      <c r="C13" s="58">
        <v>2670000</v>
      </c>
      <c r="D13" s="58"/>
      <c r="E13" s="58">
        <f t="shared" si="0"/>
        <v>2670000</v>
      </c>
    </row>
    <row r="14" spans="1:5" ht="63" x14ac:dyDescent="0.25">
      <c r="A14" s="66" t="s">
        <v>170</v>
      </c>
      <c r="B14" s="50" t="s">
        <v>171</v>
      </c>
      <c r="C14" s="211">
        <v>2325440</v>
      </c>
      <c r="D14" s="211">
        <f>D15+D16</f>
        <v>0</v>
      </c>
      <c r="E14" s="211">
        <f t="shared" si="0"/>
        <v>2325440</v>
      </c>
    </row>
    <row r="15" spans="1:5" ht="89.25" x14ac:dyDescent="0.25">
      <c r="A15" s="51" t="s">
        <v>225</v>
      </c>
      <c r="B15" s="51" t="s">
        <v>344</v>
      </c>
      <c r="C15" s="199">
        <v>819090</v>
      </c>
      <c r="D15" s="199"/>
      <c r="E15" s="199">
        <f t="shared" si="0"/>
        <v>819090</v>
      </c>
    </row>
    <row r="16" spans="1:5" ht="102" x14ac:dyDescent="0.25">
      <c r="A16" s="51" t="s">
        <v>226</v>
      </c>
      <c r="B16" s="51" t="s">
        <v>172</v>
      </c>
      <c r="C16" s="199">
        <v>1506350</v>
      </c>
      <c r="D16" s="199"/>
      <c r="E16" s="199">
        <f t="shared" si="0"/>
        <v>1506350</v>
      </c>
    </row>
    <row r="17" spans="1:5" ht="26.25" customHeight="1" x14ac:dyDescent="0.25">
      <c r="A17" s="66" t="s">
        <v>173</v>
      </c>
      <c r="B17" s="44" t="s">
        <v>174</v>
      </c>
      <c r="C17" s="211">
        <v>345000</v>
      </c>
      <c r="D17" s="211">
        <f>D18</f>
        <v>0</v>
      </c>
      <c r="E17" s="211">
        <f t="shared" si="0"/>
        <v>345000</v>
      </c>
    </row>
    <row r="18" spans="1:5" ht="15.75" customHeight="1" x14ac:dyDescent="0.25">
      <c r="A18" s="51" t="s">
        <v>175</v>
      </c>
      <c r="B18" s="51" t="s">
        <v>174</v>
      </c>
      <c r="C18" s="57">
        <v>345000</v>
      </c>
      <c r="D18" s="57"/>
      <c r="E18" s="57">
        <f t="shared" si="0"/>
        <v>345000</v>
      </c>
    </row>
    <row r="19" spans="1:5" ht="31.5" x14ac:dyDescent="0.25">
      <c r="A19" s="66" t="s">
        <v>176</v>
      </c>
      <c r="B19" s="50" t="s">
        <v>177</v>
      </c>
      <c r="C19" s="211">
        <v>1657760</v>
      </c>
      <c r="D19" s="211">
        <f>D20</f>
        <v>0</v>
      </c>
      <c r="E19" s="211">
        <f t="shared" si="0"/>
        <v>1657760</v>
      </c>
    </row>
    <row r="20" spans="1:5" ht="63.75" x14ac:dyDescent="0.25">
      <c r="A20" s="51" t="s">
        <v>228</v>
      </c>
      <c r="B20" s="51" t="s">
        <v>178</v>
      </c>
      <c r="C20" s="58">
        <v>1657760</v>
      </c>
      <c r="D20" s="58"/>
      <c r="E20" s="58">
        <f t="shared" si="0"/>
        <v>1657760</v>
      </c>
    </row>
    <row r="21" spans="1:5" ht="25.5" x14ac:dyDescent="0.25">
      <c r="A21" s="49" t="s">
        <v>179</v>
      </c>
      <c r="B21" s="50" t="s">
        <v>180</v>
      </c>
      <c r="C21" s="59">
        <v>20050000</v>
      </c>
      <c r="D21" s="59">
        <f>+D22+D24</f>
        <v>0</v>
      </c>
      <c r="E21" s="59">
        <f t="shared" si="0"/>
        <v>20050000</v>
      </c>
    </row>
    <row r="22" spans="1:5" ht="25.5" x14ac:dyDescent="0.25">
      <c r="A22" s="51" t="s">
        <v>181</v>
      </c>
      <c r="B22" s="51" t="s">
        <v>182</v>
      </c>
      <c r="C22" s="59">
        <v>13100000</v>
      </c>
      <c r="D22" s="59">
        <f>D23</f>
        <v>0</v>
      </c>
      <c r="E22" s="59">
        <f t="shared" si="0"/>
        <v>13100000</v>
      </c>
    </row>
    <row r="23" spans="1:5" ht="51" x14ac:dyDescent="0.25">
      <c r="A23" s="51" t="s">
        <v>229</v>
      </c>
      <c r="B23" s="51" t="s">
        <v>183</v>
      </c>
      <c r="C23" s="60">
        <v>13100000</v>
      </c>
      <c r="D23" s="60"/>
      <c r="E23" s="60">
        <f t="shared" si="0"/>
        <v>13100000</v>
      </c>
    </row>
    <row r="24" spans="1:5" ht="25.5" x14ac:dyDescent="0.25">
      <c r="A24" s="51" t="s">
        <v>184</v>
      </c>
      <c r="B24" s="51" t="s">
        <v>185</v>
      </c>
      <c r="C24" s="59">
        <v>6950000</v>
      </c>
      <c r="D24" s="59">
        <f>D25</f>
        <v>0</v>
      </c>
      <c r="E24" s="59">
        <f t="shared" si="0"/>
        <v>6950000</v>
      </c>
    </row>
    <row r="25" spans="1:5" ht="51" x14ac:dyDescent="0.25">
      <c r="A25" s="51" t="s">
        <v>230</v>
      </c>
      <c r="B25" s="51" t="s">
        <v>186</v>
      </c>
      <c r="C25" s="60">
        <v>6950000</v>
      </c>
      <c r="D25" s="60"/>
      <c r="E25" s="60">
        <f t="shared" si="0"/>
        <v>6950000</v>
      </c>
    </row>
    <row r="26" spans="1:5" ht="20.25" x14ac:dyDescent="0.25">
      <c r="A26" s="51"/>
      <c r="B26" s="46" t="s">
        <v>187</v>
      </c>
      <c r="C26" s="211">
        <v>1037725</v>
      </c>
      <c r="D26" s="211">
        <f>+D27</f>
        <v>0</v>
      </c>
      <c r="E26" s="211">
        <f t="shared" si="0"/>
        <v>1037725</v>
      </c>
    </row>
    <row r="27" spans="1:5" ht="63.75" x14ac:dyDescent="0.25">
      <c r="A27" s="49" t="s">
        <v>188</v>
      </c>
      <c r="B27" s="44" t="s">
        <v>189</v>
      </c>
      <c r="C27" s="211">
        <v>1037725</v>
      </c>
      <c r="D27" s="211">
        <f>SUM(D28:D29)</f>
        <v>0</v>
      </c>
      <c r="E27" s="211">
        <f t="shared" si="0"/>
        <v>1037725</v>
      </c>
    </row>
    <row r="28" spans="1:5" ht="89.25" x14ac:dyDescent="0.25">
      <c r="A28" s="61" t="s">
        <v>190</v>
      </c>
      <c r="B28" s="61" t="s">
        <v>191</v>
      </c>
      <c r="C28" s="213">
        <v>144495</v>
      </c>
      <c r="D28" s="213"/>
      <c r="E28" s="199">
        <f t="shared" si="0"/>
        <v>144495</v>
      </c>
    </row>
    <row r="29" spans="1:5" ht="102" x14ac:dyDescent="0.25">
      <c r="A29" s="51" t="s">
        <v>192</v>
      </c>
      <c r="B29" s="51" t="s">
        <v>193</v>
      </c>
      <c r="C29" s="213">
        <v>893230</v>
      </c>
      <c r="D29" s="213"/>
      <c r="E29" s="199">
        <f t="shared" si="0"/>
        <v>893230</v>
      </c>
    </row>
    <row r="30" spans="1:5" ht="24" x14ac:dyDescent="0.25">
      <c r="A30" s="72" t="s">
        <v>194</v>
      </c>
      <c r="B30" s="54" t="s">
        <v>195</v>
      </c>
      <c r="C30" s="203">
        <v>25613651.490000002</v>
      </c>
      <c r="D30" s="203">
        <f>+D31</f>
        <v>0</v>
      </c>
      <c r="E30" s="203">
        <f>C30+D30</f>
        <v>25613651.490000002</v>
      </c>
    </row>
    <row r="31" spans="1:5" ht="51.75" thickBot="1" x14ac:dyDescent="0.3">
      <c r="A31" s="234" t="s">
        <v>196</v>
      </c>
      <c r="B31" s="235" t="s">
        <v>197</v>
      </c>
      <c r="C31" s="236">
        <v>25613651.490000002</v>
      </c>
      <c r="D31" s="236">
        <f>+D32+D33+D37+D40</f>
        <v>0</v>
      </c>
      <c r="E31" s="236">
        <f>C31+D31</f>
        <v>25613651.490000002</v>
      </c>
    </row>
    <row r="32" spans="1:5" ht="51.75" customHeight="1" thickBot="1" x14ac:dyDescent="0.3">
      <c r="A32" s="237" t="s">
        <v>198</v>
      </c>
      <c r="B32" s="238" t="s">
        <v>199</v>
      </c>
      <c r="C32" s="239">
        <v>16805000</v>
      </c>
      <c r="D32" s="239"/>
      <c r="E32" s="240">
        <f>C32+D32</f>
        <v>16805000</v>
      </c>
    </row>
    <row r="33" spans="1:5" ht="38.25" x14ac:dyDescent="0.25">
      <c r="A33" s="223" t="s">
        <v>200</v>
      </c>
      <c r="B33" s="224" t="s">
        <v>201</v>
      </c>
      <c r="C33" s="225">
        <v>8507731.4900000002</v>
      </c>
      <c r="D33" s="225">
        <f>SUM(D34:D36)</f>
        <v>0</v>
      </c>
      <c r="E33" s="226">
        <f>C33+D33</f>
        <v>8507731.4900000002</v>
      </c>
    </row>
    <row r="34" spans="1:5" s="71" customFormat="1" ht="48.75" customHeight="1" x14ac:dyDescent="0.2">
      <c r="A34" s="227" t="s">
        <v>202</v>
      </c>
      <c r="B34" s="69" t="s">
        <v>203</v>
      </c>
      <c r="C34" s="214">
        <v>4105207.6500000004</v>
      </c>
      <c r="D34" s="214"/>
      <c r="E34" s="228">
        <f>C34+D34</f>
        <v>4105207.6500000004</v>
      </c>
    </row>
    <row r="35" spans="1:5" ht="25.5" x14ac:dyDescent="0.25">
      <c r="A35" s="229" t="s">
        <v>204</v>
      </c>
      <c r="B35" s="51" t="s">
        <v>205</v>
      </c>
      <c r="C35" s="199">
        <v>2693300</v>
      </c>
      <c r="D35" s="199"/>
      <c r="E35" s="228">
        <f t="shared" ref="E35:E41" si="1">C35+D35</f>
        <v>2693300</v>
      </c>
    </row>
    <row r="36" spans="1:5" ht="42.75" customHeight="1" thickBot="1" x14ac:dyDescent="0.3">
      <c r="A36" s="230" t="s">
        <v>206</v>
      </c>
      <c r="B36" s="231" t="s">
        <v>207</v>
      </c>
      <c r="C36" s="232">
        <v>1709223.84</v>
      </c>
      <c r="D36" s="232"/>
      <c r="E36" s="233">
        <f t="shared" si="1"/>
        <v>1709223.84</v>
      </c>
    </row>
    <row r="37" spans="1:5" ht="46.5" customHeight="1" x14ac:dyDescent="0.25">
      <c r="A37" s="223" t="s">
        <v>208</v>
      </c>
      <c r="B37" s="224" t="s">
        <v>209</v>
      </c>
      <c r="C37" s="241">
        <v>300920</v>
      </c>
      <c r="D37" s="241">
        <f>SUM(D38:D39)</f>
        <v>0</v>
      </c>
      <c r="E37" s="242">
        <f t="shared" si="1"/>
        <v>300920</v>
      </c>
    </row>
    <row r="38" spans="1:5" ht="54" customHeight="1" x14ac:dyDescent="0.25">
      <c r="A38" s="229" t="s">
        <v>210</v>
      </c>
      <c r="B38" s="51" t="s">
        <v>211</v>
      </c>
      <c r="C38" s="213">
        <v>3520</v>
      </c>
      <c r="D38" s="213"/>
      <c r="E38" s="243">
        <f t="shared" si="1"/>
        <v>3520</v>
      </c>
    </row>
    <row r="39" spans="1:5" ht="50.25" customHeight="1" thickBot="1" x14ac:dyDescent="0.3">
      <c r="A39" s="230" t="s">
        <v>212</v>
      </c>
      <c r="B39" s="231" t="s">
        <v>213</v>
      </c>
      <c r="C39" s="244">
        <v>297400</v>
      </c>
      <c r="D39" s="244"/>
      <c r="E39" s="243">
        <f t="shared" si="1"/>
        <v>297400</v>
      </c>
    </row>
    <row r="40" spans="1:5" ht="23.25" customHeight="1" x14ac:dyDescent="0.25">
      <c r="A40" s="223" t="s">
        <v>214</v>
      </c>
      <c r="B40" s="224" t="s">
        <v>102</v>
      </c>
      <c r="C40" s="247">
        <v>0</v>
      </c>
      <c r="D40" s="247">
        <f>D41</f>
        <v>0</v>
      </c>
      <c r="E40" s="248">
        <f t="shared" si="1"/>
        <v>0</v>
      </c>
    </row>
    <row r="41" spans="1:5" ht="39" thickBot="1" x14ac:dyDescent="0.3">
      <c r="A41" s="230" t="s">
        <v>215</v>
      </c>
      <c r="B41" s="231" t="s">
        <v>216</v>
      </c>
      <c r="C41" s="232">
        <v>0</v>
      </c>
      <c r="D41" s="232"/>
      <c r="E41" s="249">
        <f t="shared" si="1"/>
        <v>0</v>
      </c>
    </row>
    <row r="42" spans="1:5" ht="19.5" thickBot="1" x14ac:dyDescent="0.3">
      <c r="A42" s="250"/>
      <c r="B42" s="251" t="s">
        <v>217</v>
      </c>
      <c r="C42" s="252">
        <v>53699576.490000002</v>
      </c>
      <c r="D42" s="252">
        <f>+D30+D10</f>
        <v>0</v>
      </c>
      <c r="E42" s="253">
        <f>C42+D42</f>
        <v>53699576.490000002</v>
      </c>
    </row>
    <row r="43" spans="1:5" ht="14.25" customHeight="1" x14ac:dyDescent="0.25"/>
  </sheetData>
  <mergeCells count="1">
    <mergeCell ref="A6:E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44"/>
  <sheetViews>
    <sheetView workbookViewId="0">
      <selection sqref="A1:E43"/>
    </sheetView>
  </sheetViews>
  <sheetFormatPr defaultRowHeight="15" x14ac:dyDescent="0.25"/>
  <cols>
    <col min="1" max="1" width="20.85546875" style="205" customWidth="1"/>
    <col min="2" max="2" width="31.85546875" style="205" customWidth="1"/>
    <col min="3" max="3" width="12.5703125" style="205" customWidth="1"/>
    <col min="4" max="4" width="10.28515625" style="205" customWidth="1"/>
    <col min="5" max="5" width="13.42578125" style="205" customWidth="1"/>
    <col min="6" max="254" width="9.140625" style="205"/>
    <col min="255" max="255" width="24.140625" style="205" customWidth="1"/>
    <col min="256" max="256" width="48.7109375" style="205" customWidth="1"/>
    <col min="257" max="257" width="14.140625" style="205" customWidth="1"/>
    <col min="258" max="258" width="14.28515625" style="205" customWidth="1"/>
    <col min="259" max="259" width="15.28515625" style="205" customWidth="1"/>
    <col min="260" max="510" width="9.140625" style="205"/>
    <col min="511" max="511" width="24.140625" style="205" customWidth="1"/>
    <col min="512" max="512" width="48.7109375" style="205" customWidth="1"/>
    <col min="513" max="513" width="14.140625" style="205" customWidth="1"/>
    <col min="514" max="514" width="14.28515625" style="205" customWidth="1"/>
    <col min="515" max="515" width="15.28515625" style="205" customWidth="1"/>
    <col min="516" max="766" width="9.140625" style="205"/>
    <col min="767" max="767" width="24.140625" style="205" customWidth="1"/>
    <col min="768" max="768" width="48.7109375" style="205" customWidth="1"/>
    <col min="769" max="769" width="14.140625" style="205" customWidth="1"/>
    <col min="770" max="770" width="14.28515625" style="205" customWidth="1"/>
    <col min="771" max="771" width="15.28515625" style="205" customWidth="1"/>
    <col min="772" max="1022" width="9.140625" style="205"/>
    <col min="1023" max="1023" width="24.140625" style="205" customWidth="1"/>
    <col min="1024" max="1024" width="48.7109375" style="205" customWidth="1"/>
    <col min="1025" max="1025" width="14.140625" style="205" customWidth="1"/>
    <col min="1026" max="1026" width="14.28515625" style="205" customWidth="1"/>
    <col min="1027" max="1027" width="15.28515625" style="205" customWidth="1"/>
    <col min="1028" max="1278" width="9.140625" style="205"/>
    <col min="1279" max="1279" width="24.140625" style="205" customWidth="1"/>
    <col min="1280" max="1280" width="48.7109375" style="205" customWidth="1"/>
    <col min="1281" max="1281" width="14.140625" style="205" customWidth="1"/>
    <col min="1282" max="1282" width="14.28515625" style="205" customWidth="1"/>
    <col min="1283" max="1283" width="15.28515625" style="205" customWidth="1"/>
    <col min="1284" max="1534" width="9.140625" style="205"/>
    <col min="1535" max="1535" width="24.140625" style="205" customWidth="1"/>
    <col min="1536" max="1536" width="48.7109375" style="205" customWidth="1"/>
    <col min="1537" max="1537" width="14.140625" style="205" customWidth="1"/>
    <col min="1538" max="1538" width="14.28515625" style="205" customWidth="1"/>
    <col min="1539" max="1539" width="15.28515625" style="205" customWidth="1"/>
    <col min="1540" max="1790" width="9.140625" style="205"/>
    <col min="1791" max="1791" width="24.140625" style="205" customWidth="1"/>
    <col min="1792" max="1792" width="48.7109375" style="205" customWidth="1"/>
    <col min="1793" max="1793" width="14.140625" style="205" customWidth="1"/>
    <col min="1794" max="1794" width="14.28515625" style="205" customWidth="1"/>
    <col min="1795" max="1795" width="15.28515625" style="205" customWidth="1"/>
    <col min="1796" max="2046" width="9.140625" style="205"/>
    <col min="2047" max="2047" width="24.140625" style="205" customWidth="1"/>
    <col min="2048" max="2048" width="48.7109375" style="205" customWidth="1"/>
    <col min="2049" max="2049" width="14.140625" style="205" customWidth="1"/>
    <col min="2050" max="2050" width="14.28515625" style="205" customWidth="1"/>
    <col min="2051" max="2051" width="15.28515625" style="205" customWidth="1"/>
    <col min="2052" max="2302" width="9.140625" style="205"/>
    <col min="2303" max="2303" width="24.140625" style="205" customWidth="1"/>
    <col min="2304" max="2304" width="48.7109375" style="205" customWidth="1"/>
    <col min="2305" max="2305" width="14.140625" style="205" customWidth="1"/>
    <col min="2306" max="2306" width="14.28515625" style="205" customWidth="1"/>
    <col min="2307" max="2307" width="15.28515625" style="205" customWidth="1"/>
    <col min="2308" max="2558" width="9.140625" style="205"/>
    <col min="2559" max="2559" width="24.140625" style="205" customWidth="1"/>
    <col min="2560" max="2560" width="48.7109375" style="205" customWidth="1"/>
    <col min="2561" max="2561" width="14.140625" style="205" customWidth="1"/>
    <col min="2562" max="2562" width="14.28515625" style="205" customWidth="1"/>
    <col min="2563" max="2563" width="15.28515625" style="205" customWidth="1"/>
    <col min="2564" max="2814" width="9.140625" style="205"/>
    <col min="2815" max="2815" width="24.140625" style="205" customWidth="1"/>
    <col min="2816" max="2816" width="48.7109375" style="205" customWidth="1"/>
    <col min="2817" max="2817" width="14.140625" style="205" customWidth="1"/>
    <col min="2818" max="2818" width="14.28515625" style="205" customWidth="1"/>
    <col min="2819" max="2819" width="15.28515625" style="205" customWidth="1"/>
    <col min="2820" max="3070" width="9.140625" style="205"/>
    <col min="3071" max="3071" width="24.140625" style="205" customWidth="1"/>
    <col min="3072" max="3072" width="48.7109375" style="205" customWidth="1"/>
    <col min="3073" max="3073" width="14.140625" style="205" customWidth="1"/>
    <col min="3074" max="3074" width="14.28515625" style="205" customWidth="1"/>
    <col min="3075" max="3075" width="15.28515625" style="205" customWidth="1"/>
    <col min="3076" max="3326" width="9.140625" style="205"/>
    <col min="3327" max="3327" width="24.140625" style="205" customWidth="1"/>
    <col min="3328" max="3328" width="48.7109375" style="205" customWidth="1"/>
    <col min="3329" max="3329" width="14.140625" style="205" customWidth="1"/>
    <col min="3330" max="3330" width="14.28515625" style="205" customWidth="1"/>
    <col min="3331" max="3331" width="15.28515625" style="205" customWidth="1"/>
    <col min="3332" max="3582" width="9.140625" style="205"/>
    <col min="3583" max="3583" width="24.140625" style="205" customWidth="1"/>
    <col min="3584" max="3584" width="48.7109375" style="205" customWidth="1"/>
    <col min="3585" max="3585" width="14.140625" style="205" customWidth="1"/>
    <col min="3586" max="3586" width="14.28515625" style="205" customWidth="1"/>
    <col min="3587" max="3587" width="15.28515625" style="205" customWidth="1"/>
    <col min="3588" max="3838" width="9.140625" style="205"/>
    <col min="3839" max="3839" width="24.140625" style="205" customWidth="1"/>
    <col min="3840" max="3840" width="48.7109375" style="205" customWidth="1"/>
    <col min="3841" max="3841" width="14.140625" style="205" customWidth="1"/>
    <col min="3842" max="3842" width="14.28515625" style="205" customWidth="1"/>
    <col min="3843" max="3843" width="15.28515625" style="205" customWidth="1"/>
    <col min="3844" max="4094" width="9.140625" style="205"/>
    <col min="4095" max="4095" width="24.140625" style="205" customWidth="1"/>
    <col min="4096" max="4096" width="48.7109375" style="205" customWidth="1"/>
    <col min="4097" max="4097" width="14.140625" style="205" customWidth="1"/>
    <col min="4098" max="4098" width="14.28515625" style="205" customWidth="1"/>
    <col min="4099" max="4099" width="15.28515625" style="205" customWidth="1"/>
    <col min="4100" max="4350" width="9.140625" style="205"/>
    <col min="4351" max="4351" width="24.140625" style="205" customWidth="1"/>
    <col min="4352" max="4352" width="48.7109375" style="205" customWidth="1"/>
    <col min="4353" max="4353" width="14.140625" style="205" customWidth="1"/>
    <col min="4354" max="4354" width="14.28515625" style="205" customWidth="1"/>
    <col min="4355" max="4355" width="15.28515625" style="205" customWidth="1"/>
    <col min="4356" max="4606" width="9.140625" style="205"/>
    <col min="4607" max="4607" width="24.140625" style="205" customWidth="1"/>
    <col min="4608" max="4608" width="48.7109375" style="205" customWidth="1"/>
    <col min="4609" max="4609" width="14.140625" style="205" customWidth="1"/>
    <col min="4610" max="4610" width="14.28515625" style="205" customWidth="1"/>
    <col min="4611" max="4611" width="15.28515625" style="205" customWidth="1"/>
    <col min="4612" max="4862" width="9.140625" style="205"/>
    <col min="4863" max="4863" width="24.140625" style="205" customWidth="1"/>
    <col min="4864" max="4864" width="48.7109375" style="205" customWidth="1"/>
    <col min="4865" max="4865" width="14.140625" style="205" customWidth="1"/>
    <col min="4866" max="4866" width="14.28515625" style="205" customWidth="1"/>
    <col min="4867" max="4867" width="15.28515625" style="205" customWidth="1"/>
    <col min="4868" max="5118" width="9.140625" style="205"/>
    <col min="5119" max="5119" width="24.140625" style="205" customWidth="1"/>
    <col min="5120" max="5120" width="48.7109375" style="205" customWidth="1"/>
    <col min="5121" max="5121" width="14.140625" style="205" customWidth="1"/>
    <col min="5122" max="5122" width="14.28515625" style="205" customWidth="1"/>
    <col min="5123" max="5123" width="15.28515625" style="205" customWidth="1"/>
    <col min="5124" max="5374" width="9.140625" style="205"/>
    <col min="5375" max="5375" width="24.140625" style="205" customWidth="1"/>
    <col min="5376" max="5376" width="48.7109375" style="205" customWidth="1"/>
    <col min="5377" max="5377" width="14.140625" style="205" customWidth="1"/>
    <col min="5378" max="5378" width="14.28515625" style="205" customWidth="1"/>
    <col min="5379" max="5379" width="15.28515625" style="205" customWidth="1"/>
    <col min="5380" max="5630" width="9.140625" style="205"/>
    <col min="5631" max="5631" width="24.140625" style="205" customWidth="1"/>
    <col min="5632" max="5632" width="48.7109375" style="205" customWidth="1"/>
    <col min="5633" max="5633" width="14.140625" style="205" customWidth="1"/>
    <col min="5634" max="5634" width="14.28515625" style="205" customWidth="1"/>
    <col min="5635" max="5635" width="15.28515625" style="205" customWidth="1"/>
    <col min="5636" max="5886" width="9.140625" style="205"/>
    <col min="5887" max="5887" width="24.140625" style="205" customWidth="1"/>
    <col min="5888" max="5888" width="48.7109375" style="205" customWidth="1"/>
    <col min="5889" max="5889" width="14.140625" style="205" customWidth="1"/>
    <col min="5890" max="5890" width="14.28515625" style="205" customWidth="1"/>
    <col min="5891" max="5891" width="15.28515625" style="205" customWidth="1"/>
    <col min="5892" max="6142" width="9.140625" style="205"/>
    <col min="6143" max="6143" width="24.140625" style="205" customWidth="1"/>
    <col min="6144" max="6144" width="48.7109375" style="205" customWidth="1"/>
    <col min="6145" max="6145" width="14.140625" style="205" customWidth="1"/>
    <col min="6146" max="6146" width="14.28515625" style="205" customWidth="1"/>
    <col min="6147" max="6147" width="15.28515625" style="205" customWidth="1"/>
    <col min="6148" max="6398" width="9.140625" style="205"/>
    <col min="6399" max="6399" width="24.140625" style="205" customWidth="1"/>
    <col min="6400" max="6400" width="48.7109375" style="205" customWidth="1"/>
    <col min="6401" max="6401" width="14.140625" style="205" customWidth="1"/>
    <col min="6402" max="6402" width="14.28515625" style="205" customWidth="1"/>
    <col min="6403" max="6403" width="15.28515625" style="205" customWidth="1"/>
    <col min="6404" max="6654" width="9.140625" style="205"/>
    <col min="6655" max="6655" width="24.140625" style="205" customWidth="1"/>
    <col min="6656" max="6656" width="48.7109375" style="205" customWidth="1"/>
    <col min="6657" max="6657" width="14.140625" style="205" customWidth="1"/>
    <col min="6658" max="6658" width="14.28515625" style="205" customWidth="1"/>
    <col min="6659" max="6659" width="15.28515625" style="205" customWidth="1"/>
    <col min="6660" max="6910" width="9.140625" style="205"/>
    <col min="6911" max="6911" width="24.140625" style="205" customWidth="1"/>
    <col min="6912" max="6912" width="48.7109375" style="205" customWidth="1"/>
    <col min="6913" max="6913" width="14.140625" style="205" customWidth="1"/>
    <col min="6914" max="6914" width="14.28515625" style="205" customWidth="1"/>
    <col min="6915" max="6915" width="15.28515625" style="205" customWidth="1"/>
    <col min="6916" max="7166" width="9.140625" style="205"/>
    <col min="7167" max="7167" width="24.140625" style="205" customWidth="1"/>
    <col min="7168" max="7168" width="48.7109375" style="205" customWidth="1"/>
    <col min="7169" max="7169" width="14.140625" style="205" customWidth="1"/>
    <col min="7170" max="7170" width="14.28515625" style="205" customWidth="1"/>
    <col min="7171" max="7171" width="15.28515625" style="205" customWidth="1"/>
    <col min="7172" max="7422" width="9.140625" style="205"/>
    <col min="7423" max="7423" width="24.140625" style="205" customWidth="1"/>
    <col min="7424" max="7424" width="48.7109375" style="205" customWidth="1"/>
    <col min="7425" max="7425" width="14.140625" style="205" customWidth="1"/>
    <col min="7426" max="7426" width="14.28515625" style="205" customWidth="1"/>
    <col min="7427" max="7427" width="15.28515625" style="205" customWidth="1"/>
    <col min="7428" max="7678" width="9.140625" style="205"/>
    <col min="7679" max="7679" width="24.140625" style="205" customWidth="1"/>
    <col min="7680" max="7680" width="48.7109375" style="205" customWidth="1"/>
    <col min="7681" max="7681" width="14.140625" style="205" customWidth="1"/>
    <col min="7682" max="7682" width="14.28515625" style="205" customWidth="1"/>
    <col min="7683" max="7683" width="15.28515625" style="205" customWidth="1"/>
    <col min="7684" max="7934" width="9.140625" style="205"/>
    <col min="7935" max="7935" width="24.140625" style="205" customWidth="1"/>
    <col min="7936" max="7936" width="48.7109375" style="205" customWidth="1"/>
    <col min="7937" max="7937" width="14.140625" style="205" customWidth="1"/>
    <col min="7938" max="7938" width="14.28515625" style="205" customWidth="1"/>
    <col min="7939" max="7939" width="15.28515625" style="205" customWidth="1"/>
    <col min="7940" max="8190" width="9.140625" style="205"/>
    <col min="8191" max="8191" width="24.140625" style="205" customWidth="1"/>
    <col min="8192" max="8192" width="48.7109375" style="205" customWidth="1"/>
    <col min="8193" max="8193" width="14.140625" style="205" customWidth="1"/>
    <col min="8194" max="8194" width="14.28515625" style="205" customWidth="1"/>
    <col min="8195" max="8195" width="15.28515625" style="205" customWidth="1"/>
    <col min="8196" max="8446" width="9.140625" style="205"/>
    <col min="8447" max="8447" width="24.140625" style="205" customWidth="1"/>
    <col min="8448" max="8448" width="48.7109375" style="205" customWidth="1"/>
    <col min="8449" max="8449" width="14.140625" style="205" customWidth="1"/>
    <col min="8450" max="8450" width="14.28515625" style="205" customWidth="1"/>
    <col min="8451" max="8451" width="15.28515625" style="205" customWidth="1"/>
    <col min="8452" max="8702" width="9.140625" style="205"/>
    <col min="8703" max="8703" width="24.140625" style="205" customWidth="1"/>
    <col min="8704" max="8704" width="48.7109375" style="205" customWidth="1"/>
    <col min="8705" max="8705" width="14.140625" style="205" customWidth="1"/>
    <col min="8706" max="8706" width="14.28515625" style="205" customWidth="1"/>
    <col min="8707" max="8707" width="15.28515625" style="205" customWidth="1"/>
    <col min="8708" max="8958" width="9.140625" style="205"/>
    <col min="8959" max="8959" width="24.140625" style="205" customWidth="1"/>
    <col min="8960" max="8960" width="48.7109375" style="205" customWidth="1"/>
    <col min="8961" max="8961" width="14.140625" style="205" customWidth="1"/>
    <col min="8962" max="8962" width="14.28515625" style="205" customWidth="1"/>
    <col min="8963" max="8963" width="15.28515625" style="205" customWidth="1"/>
    <col min="8964" max="9214" width="9.140625" style="205"/>
    <col min="9215" max="9215" width="24.140625" style="205" customWidth="1"/>
    <col min="9216" max="9216" width="48.7109375" style="205" customWidth="1"/>
    <col min="9217" max="9217" width="14.140625" style="205" customWidth="1"/>
    <col min="9218" max="9218" width="14.28515625" style="205" customWidth="1"/>
    <col min="9219" max="9219" width="15.28515625" style="205" customWidth="1"/>
    <col min="9220" max="9470" width="9.140625" style="205"/>
    <col min="9471" max="9471" width="24.140625" style="205" customWidth="1"/>
    <col min="9472" max="9472" width="48.7109375" style="205" customWidth="1"/>
    <col min="9473" max="9473" width="14.140625" style="205" customWidth="1"/>
    <col min="9474" max="9474" width="14.28515625" style="205" customWidth="1"/>
    <col min="9475" max="9475" width="15.28515625" style="205" customWidth="1"/>
    <col min="9476" max="9726" width="9.140625" style="205"/>
    <col min="9727" max="9727" width="24.140625" style="205" customWidth="1"/>
    <col min="9728" max="9728" width="48.7109375" style="205" customWidth="1"/>
    <col min="9729" max="9729" width="14.140625" style="205" customWidth="1"/>
    <col min="9730" max="9730" width="14.28515625" style="205" customWidth="1"/>
    <col min="9731" max="9731" width="15.28515625" style="205" customWidth="1"/>
    <col min="9732" max="9982" width="9.140625" style="205"/>
    <col min="9983" max="9983" width="24.140625" style="205" customWidth="1"/>
    <col min="9984" max="9984" width="48.7109375" style="205" customWidth="1"/>
    <col min="9985" max="9985" width="14.140625" style="205" customWidth="1"/>
    <col min="9986" max="9986" width="14.28515625" style="205" customWidth="1"/>
    <col min="9987" max="9987" width="15.28515625" style="205" customWidth="1"/>
    <col min="9988" max="10238" width="9.140625" style="205"/>
    <col min="10239" max="10239" width="24.140625" style="205" customWidth="1"/>
    <col min="10240" max="10240" width="48.7109375" style="205" customWidth="1"/>
    <col min="10241" max="10241" width="14.140625" style="205" customWidth="1"/>
    <col min="10242" max="10242" width="14.28515625" style="205" customWidth="1"/>
    <col min="10243" max="10243" width="15.28515625" style="205" customWidth="1"/>
    <col min="10244" max="10494" width="9.140625" style="205"/>
    <col min="10495" max="10495" width="24.140625" style="205" customWidth="1"/>
    <col min="10496" max="10496" width="48.7109375" style="205" customWidth="1"/>
    <col min="10497" max="10497" width="14.140625" style="205" customWidth="1"/>
    <col min="10498" max="10498" width="14.28515625" style="205" customWidth="1"/>
    <col min="10499" max="10499" width="15.28515625" style="205" customWidth="1"/>
    <col min="10500" max="10750" width="9.140625" style="205"/>
    <col min="10751" max="10751" width="24.140625" style="205" customWidth="1"/>
    <col min="10752" max="10752" width="48.7109375" style="205" customWidth="1"/>
    <col min="10753" max="10753" width="14.140625" style="205" customWidth="1"/>
    <col min="10754" max="10754" width="14.28515625" style="205" customWidth="1"/>
    <col min="10755" max="10755" width="15.28515625" style="205" customWidth="1"/>
    <col min="10756" max="11006" width="9.140625" style="205"/>
    <col min="11007" max="11007" width="24.140625" style="205" customWidth="1"/>
    <col min="11008" max="11008" width="48.7109375" style="205" customWidth="1"/>
    <col min="11009" max="11009" width="14.140625" style="205" customWidth="1"/>
    <col min="11010" max="11010" width="14.28515625" style="205" customWidth="1"/>
    <col min="11011" max="11011" width="15.28515625" style="205" customWidth="1"/>
    <col min="11012" max="11262" width="9.140625" style="205"/>
    <col min="11263" max="11263" width="24.140625" style="205" customWidth="1"/>
    <col min="11264" max="11264" width="48.7109375" style="205" customWidth="1"/>
    <col min="11265" max="11265" width="14.140625" style="205" customWidth="1"/>
    <col min="11266" max="11266" width="14.28515625" style="205" customWidth="1"/>
    <col min="11267" max="11267" width="15.28515625" style="205" customWidth="1"/>
    <col min="11268" max="11518" width="9.140625" style="205"/>
    <col min="11519" max="11519" width="24.140625" style="205" customWidth="1"/>
    <col min="11520" max="11520" width="48.7109375" style="205" customWidth="1"/>
    <col min="11521" max="11521" width="14.140625" style="205" customWidth="1"/>
    <col min="11522" max="11522" width="14.28515625" style="205" customWidth="1"/>
    <col min="11523" max="11523" width="15.28515625" style="205" customWidth="1"/>
    <col min="11524" max="11774" width="9.140625" style="205"/>
    <col min="11775" max="11775" width="24.140625" style="205" customWidth="1"/>
    <col min="11776" max="11776" width="48.7109375" style="205" customWidth="1"/>
    <col min="11777" max="11777" width="14.140625" style="205" customWidth="1"/>
    <col min="11778" max="11778" width="14.28515625" style="205" customWidth="1"/>
    <col min="11779" max="11779" width="15.28515625" style="205" customWidth="1"/>
    <col min="11780" max="12030" width="9.140625" style="205"/>
    <col min="12031" max="12031" width="24.140625" style="205" customWidth="1"/>
    <col min="12032" max="12032" width="48.7109375" style="205" customWidth="1"/>
    <col min="12033" max="12033" width="14.140625" style="205" customWidth="1"/>
    <col min="12034" max="12034" width="14.28515625" style="205" customWidth="1"/>
    <col min="12035" max="12035" width="15.28515625" style="205" customWidth="1"/>
    <col min="12036" max="12286" width="9.140625" style="205"/>
    <col min="12287" max="12287" width="24.140625" style="205" customWidth="1"/>
    <col min="12288" max="12288" width="48.7109375" style="205" customWidth="1"/>
    <col min="12289" max="12289" width="14.140625" style="205" customWidth="1"/>
    <col min="12290" max="12290" width="14.28515625" style="205" customWidth="1"/>
    <col min="12291" max="12291" width="15.28515625" style="205" customWidth="1"/>
    <col min="12292" max="12542" width="9.140625" style="205"/>
    <col min="12543" max="12543" width="24.140625" style="205" customWidth="1"/>
    <col min="12544" max="12544" width="48.7109375" style="205" customWidth="1"/>
    <col min="12545" max="12545" width="14.140625" style="205" customWidth="1"/>
    <col min="12546" max="12546" width="14.28515625" style="205" customWidth="1"/>
    <col min="12547" max="12547" width="15.28515625" style="205" customWidth="1"/>
    <col min="12548" max="12798" width="9.140625" style="205"/>
    <col min="12799" max="12799" width="24.140625" style="205" customWidth="1"/>
    <col min="12800" max="12800" width="48.7109375" style="205" customWidth="1"/>
    <col min="12801" max="12801" width="14.140625" style="205" customWidth="1"/>
    <col min="12802" max="12802" width="14.28515625" style="205" customWidth="1"/>
    <col min="12803" max="12803" width="15.28515625" style="205" customWidth="1"/>
    <col min="12804" max="13054" width="9.140625" style="205"/>
    <col min="13055" max="13055" width="24.140625" style="205" customWidth="1"/>
    <col min="13056" max="13056" width="48.7109375" style="205" customWidth="1"/>
    <col min="13057" max="13057" width="14.140625" style="205" customWidth="1"/>
    <col min="13058" max="13058" width="14.28515625" style="205" customWidth="1"/>
    <col min="13059" max="13059" width="15.28515625" style="205" customWidth="1"/>
    <col min="13060" max="13310" width="9.140625" style="205"/>
    <col min="13311" max="13311" width="24.140625" style="205" customWidth="1"/>
    <col min="13312" max="13312" width="48.7109375" style="205" customWidth="1"/>
    <col min="13313" max="13313" width="14.140625" style="205" customWidth="1"/>
    <col min="13314" max="13314" width="14.28515625" style="205" customWidth="1"/>
    <col min="13315" max="13315" width="15.28515625" style="205" customWidth="1"/>
    <col min="13316" max="13566" width="9.140625" style="205"/>
    <col min="13567" max="13567" width="24.140625" style="205" customWidth="1"/>
    <col min="13568" max="13568" width="48.7109375" style="205" customWidth="1"/>
    <col min="13569" max="13569" width="14.140625" style="205" customWidth="1"/>
    <col min="13570" max="13570" width="14.28515625" style="205" customWidth="1"/>
    <col min="13571" max="13571" width="15.28515625" style="205" customWidth="1"/>
    <col min="13572" max="13822" width="9.140625" style="205"/>
    <col min="13823" max="13823" width="24.140625" style="205" customWidth="1"/>
    <col min="13824" max="13824" width="48.7109375" style="205" customWidth="1"/>
    <col min="13825" max="13825" width="14.140625" style="205" customWidth="1"/>
    <col min="13826" max="13826" width="14.28515625" style="205" customWidth="1"/>
    <col min="13827" max="13827" width="15.28515625" style="205" customWidth="1"/>
    <col min="13828" max="14078" width="9.140625" style="205"/>
    <col min="14079" max="14079" width="24.140625" style="205" customWidth="1"/>
    <col min="14080" max="14080" width="48.7109375" style="205" customWidth="1"/>
    <col min="14081" max="14081" width="14.140625" style="205" customWidth="1"/>
    <col min="14082" max="14082" width="14.28515625" style="205" customWidth="1"/>
    <col min="14083" max="14083" width="15.28515625" style="205" customWidth="1"/>
    <col min="14084" max="14334" width="9.140625" style="205"/>
    <col min="14335" max="14335" width="24.140625" style="205" customWidth="1"/>
    <col min="14336" max="14336" width="48.7109375" style="205" customWidth="1"/>
    <col min="14337" max="14337" width="14.140625" style="205" customWidth="1"/>
    <col min="14338" max="14338" width="14.28515625" style="205" customWidth="1"/>
    <col min="14339" max="14339" width="15.28515625" style="205" customWidth="1"/>
    <col min="14340" max="14590" width="9.140625" style="205"/>
    <col min="14591" max="14591" width="24.140625" style="205" customWidth="1"/>
    <col min="14592" max="14592" width="48.7109375" style="205" customWidth="1"/>
    <col min="14593" max="14593" width="14.140625" style="205" customWidth="1"/>
    <col min="14594" max="14594" width="14.28515625" style="205" customWidth="1"/>
    <col min="14595" max="14595" width="15.28515625" style="205" customWidth="1"/>
    <col min="14596" max="14846" width="9.140625" style="205"/>
    <col min="14847" max="14847" width="24.140625" style="205" customWidth="1"/>
    <col min="14848" max="14848" width="48.7109375" style="205" customWidth="1"/>
    <col min="14849" max="14849" width="14.140625" style="205" customWidth="1"/>
    <col min="14850" max="14850" width="14.28515625" style="205" customWidth="1"/>
    <col min="14851" max="14851" width="15.28515625" style="205" customWidth="1"/>
    <col min="14852" max="15102" width="9.140625" style="205"/>
    <col min="15103" max="15103" width="24.140625" style="205" customWidth="1"/>
    <col min="15104" max="15104" width="48.7109375" style="205" customWidth="1"/>
    <col min="15105" max="15105" width="14.140625" style="205" customWidth="1"/>
    <col min="15106" max="15106" width="14.28515625" style="205" customWidth="1"/>
    <col min="15107" max="15107" width="15.28515625" style="205" customWidth="1"/>
    <col min="15108" max="15358" width="9.140625" style="205"/>
    <col min="15359" max="15359" width="24.140625" style="205" customWidth="1"/>
    <col min="15360" max="15360" width="48.7109375" style="205" customWidth="1"/>
    <col min="15361" max="15361" width="14.140625" style="205" customWidth="1"/>
    <col min="15362" max="15362" width="14.28515625" style="205" customWidth="1"/>
    <col min="15363" max="15363" width="15.28515625" style="205" customWidth="1"/>
    <col min="15364" max="15614" width="9.140625" style="205"/>
    <col min="15615" max="15615" width="24.140625" style="205" customWidth="1"/>
    <col min="15616" max="15616" width="48.7109375" style="205" customWidth="1"/>
    <col min="15617" max="15617" width="14.140625" style="205" customWidth="1"/>
    <col min="15618" max="15618" width="14.28515625" style="205" customWidth="1"/>
    <col min="15619" max="15619" width="15.28515625" style="205" customWidth="1"/>
    <col min="15620" max="15870" width="9.140625" style="205"/>
    <col min="15871" max="15871" width="24.140625" style="205" customWidth="1"/>
    <col min="15872" max="15872" width="48.7109375" style="205" customWidth="1"/>
    <col min="15873" max="15873" width="14.140625" style="205" customWidth="1"/>
    <col min="15874" max="15874" width="14.28515625" style="205" customWidth="1"/>
    <col min="15875" max="15875" width="15.28515625" style="205" customWidth="1"/>
    <col min="15876" max="16126" width="9.140625" style="205"/>
    <col min="16127" max="16127" width="24.140625" style="205" customWidth="1"/>
    <col min="16128" max="16128" width="48.7109375" style="205" customWidth="1"/>
    <col min="16129" max="16129" width="14.140625" style="205" customWidth="1"/>
    <col min="16130" max="16130" width="14.28515625" style="205" customWidth="1"/>
    <col min="16131" max="16131" width="15.28515625" style="205" customWidth="1"/>
    <col min="16132" max="16384" width="9.140625" style="205"/>
  </cols>
  <sheetData>
    <row r="1" spans="1:5" x14ac:dyDescent="0.25">
      <c r="C1" s="207" t="s">
        <v>219</v>
      </c>
    </row>
    <row r="2" spans="1:5" x14ac:dyDescent="0.25">
      <c r="C2" s="208" t="s">
        <v>220</v>
      </c>
    </row>
    <row r="3" spans="1:5" x14ac:dyDescent="0.25">
      <c r="C3" s="208" t="s">
        <v>221</v>
      </c>
    </row>
    <row r="4" spans="1:5" x14ac:dyDescent="0.25">
      <c r="A4"/>
      <c r="C4" s="208" t="s">
        <v>523</v>
      </c>
    </row>
    <row r="5" spans="1:5" x14ac:dyDescent="0.25">
      <c r="A5"/>
    </row>
    <row r="6" spans="1:5" ht="15.6" customHeight="1" x14ac:dyDescent="0.25">
      <c r="A6" s="506" t="s">
        <v>412</v>
      </c>
      <c r="B6" s="506"/>
      <c r="C6" s="512"/>
      <c r="D6" s="513"/>
      <c r="E6" s="513"/>
    </row>
    <row r="7" spans="1:5" ht="15.6" customHeight="1" x14ac:dyDescent="0.25">
      <c r="A7" s="506"/>
      <c r="B7" s="506"/>
      <c r="C7" s="512"/>
      <c r="D7" s="513"/>
      <c r="E7" s="513"/>
    </row>
    <row r="8" spans="1:5" ht="15.6" customHeight="1" thickBot="1" x14ac:dyDescent="0.3">
      <c r="A8" s="514"/>
      <c r="B8" s="514"/>
      <c r="C8" s="515"/>
      <c r="D8" s="516"/>
      <c r="E8" s="516"/>
    </row>
    <row r="9" spans="1:5" ht="87" customHeight="1" x14ac:dyDescent="0.25">
      <c r="A9" s="341" t="s">
        <v>161</v>
      </c>
      <c r="B9" s="325" t="s">
        <v>11</v>
      </c>
      <c r="C9" s="325" t="s">
        <v>164</v>
      </c>
      <c r="D9" s="342" t="s">
        <v>369</v>
      </c>
      <c r="E9" s="343" t="s">
        <v>371</v>
      </c>
    </row>
    <row r="10" spans="1:5" ht="60.75" x14ac:dyDescent="0.25">
      <c r="A10" s="344"/>
      <c r="B10" s="56" t="s">
        <v>165</v>
      </c>
      <c r="C10" s="63">
        <v>28468.945</v>
      </c>
      <c r="D10" s="63">
        <f>+D11+D26</f>
        <v>0</v>
      </c>
      <c r="E10" s="348">
        <f>C10+D10</f>
        <v>28468.945</v>
      </c>
    </row>
    <row r="11" spans="1:5" ht="21" thickBot="1" x14ac:dyDescent="0.3">
      <c r="A11" s="345"/>
      <c r="B11" s="346" t="s">
        <v>166</v>
      </c>
      <c r="C11" s="347">
        <v>27431.22</v>
      </c>
      <c r="D11" s="347">
        <f>+D12+D14+D17+D19+D21</f>
        <v>0</v>
      </c>
      <c r="E11" s="334">
        <f>C11+D11</f>
        <v>27431.22</v>
      </c>
    </row>
    <row r="12" spans="1:5" ht="21" x14ac:dyDescent="0.25">
      <c r="A12" s="260" t="s">
        <v>167</v>
      </c>
      <c r="B12" s="261" t="s">
        <v>168</v>
      </c>
      <c r="C12" s="294">
        <v>2750</v>
      </c>
      <c r="D12" s="294">
        <f>SUM(D13:D13)</f>
        <v>0</v>
      </c>
      <c r="E12" s="300">
        <f>C12+D12</f>
        <v>2750</v>
      </c>
    </row>
    <row r="13" spans="1:5" ht="102.75" thickBot="1" x14ac:dyDescent="0.3">
      <c r="A13" s="230" t="s">
        <v>227</v>
      </c>
      <c r="B13" s="231" t="s">
        <v>169</v>
      </c>
      <c r="C13" s="295">
        <v>2750</v>
      </c>
      <c r="D13" s="297"/>
      <c r="E13" s="298">
        <f>C13+D13</f>
        <v>2750</v>
      </c>
    </row>
    <row r="14" spans="1:5" ht="79.5" thickBot="1" x14ac:dyDescent="0.3">
      <c r="A14" s="223" t="s">
        <v>170</v>
      </c>
      <c r="B14" s="268" t="s">
        <v>171</v>
      </c>
      <c r="C14" s="301">
        <v>2418.46</v>
      </c>
      <c r="D14" s="301">
        <f>SUM(D15:D16)</f>
        <v>0</v>
      </c>
      <c r="E14" s="296">
        <f>C14+D14</f>
        <v>2418.46</v>
      </c>
    </row>
    <row r="15" spans="1:5" ht="102.75" thickBot="1" x14ac:dyDescent="0.3">
      <c r="A15" s="229" t="s">
        <v>225</v>
      </c>
      <c r="B15" s="51" t="s">
        <v>344</v>
      </c>
      <c r="C15" s="200">
        <v>851.86</v>
      </c>
      <c r="D15" s="299"/>
      <c r="E15" s="296">
        <f t="shared" ref="E15:E16" si="0">C15+D15</f>
        <v>851.86</v>
      </c>
    </row>
    <row r="16" spans="1:5" ht="102.75" thickBot="1" x14ac:dyDescent="0.3">
      <c r="A16" s="287" t="s">
        <v>226</v>
      </c>
      <c r="B16" s="288" t="s">
        <v>172</v>
      </c>
      <c r="C16" s="302">
        <v>1566.6</v>
      </c>
      <c r="D16" s="292"/>
      <c r="E16" s="303">
        <f t="shared" si="0"/>
        <v>1566.6</v>
      </c>
    </row>
    <row r="17" spans="1:5" ht="26.25" customHeight="1" x14ac:dyDescent="0.25">
      <c r="A17" s="223" t="s">
        <v>173</v>
      </c>
      <c r="B17" s="224" t="s">
        <v>174</v>
      </c>
      <c r="C17" s="269">
        <v>355</v>
      </c>
      <c r="D17" s="269">
        <f>+D18</f>
        <v>0</v>
      </c>
      <c r="E17" s="308">
        <f t="shared" ref="E17:E22" si="1">C17+D17</f>
        <v>355</v>
      </c>
    </row>
    <row r="18" spans="1:5" ht="15.75" customHeight="1" thickBot="1" x14ac:dyDescent="0.3">
      <c r="A18" s="230" t="s">
        <v>175</v>
      </c>
      <c r="B18" s="231" t="s">
        <v>174</v>
      </c>
      <c r="C18" s="349">
        <v>355</v>
      </c>
      <c r="D18" s="350"/>
      <c r="E18" s="309">
        <f t="shared" si="1"/>
        <v>355</v>
      </c>
    </row>
    <row r="19" spans="1:5" ht="31.5" x14ac:dyDescent="0.25">
      <c r="A19" s="223" t="s">
        <v>176</v>
      </c>
      <c r="B19" s="268" t="s">
        <v>177</v>
      </c>
      <c r="C19" s="269">
        <v>1657.76</v>
      </c>
      <c r="D19" s="304">
        <f>+D20</f>
        <v>0</v>
      </c>
      <c r="E19" s="308">
        <f t="shared" si="1"/>
        <v>1657.76</v>
      </c>
    </row>
    <row r="20" spans="1:5" ht="64.5" thickBot="1" x14ac:dyDescent="0.3">
      <c r="A20" s="230" t="s">
        <v>228</v>
      </c>
      <c r="B20" s="231" t="s">
        <v>178</v>
      </c>
      <c r="C20" s="265">
        <v>1657.76</v>
      </c>
      <c r="D20" s="306"/>
      <c r="E20" s="307">
        <f t="shared" si="1"/>
        <v>1657.76</v>
      </c>
    </row>
    <row r="21" spans="1:5" ht="25.5" x14ac:dyDescent="0.25">
      <c r="A21" s="278" t="s">
        <v>179</v>
      </c>
      <c r="B21" s="268" t="s">
        <v>180</v>
      </c>
      <c r="C21" s="241">
        <v>20250</v>
      </c>
      <c r="D21" s="241">
        <f>+D22+D24</f>
        <v>0</v>
      </c>
      <c r="E21" s="300">
        <f t="shared" si="1"/>
        <v>20250</v>
      </c>
    </row>
    <row r="22" spans="1:5" ht="25.5" x14ac:dyDescent="0.25">
      <c r="A22" s="229" t="s">
        <v>181</v>
      </c>
      <c r="B22" s="51" t="s">
        <v>182</v>
      </c>
      <c r="C22" s="59">
        <v>13300</v>
      </c>
      <c r="D22" s="59">
        <f>+D23</f>
        <v>0</v>
      </c>
      <c r="E22" s="311">
        <f t="shared" si="1"/>
        <v>13300</v>
      </c>
    </row>
    <row r="23" spans="1:5" ht="51" x14ac:dyDescent="0.25">
      <c r="A23" s="229" t="s">
        <v>229</v>
      </c>
      <c r="B23" s="51" t="s">
        <v>183</v>
      </c>
      <c r="C23" s="60">
        <v>13300</v>
      </c>
      <c r="D23" s="313">
        <v>0</v>
      </c>
      <c r="E23" s="310">
        <f>D23+C23</f>
        <v>13300</v>
      </c>
    </row>
    <row r="24" spans="1:5" ht="25.5" x14ac:dyDescent="0.25">
      <c r="A24" s="229" t="s">
        <v>184</v>
      </c>
      <c r="B24" s="51" t="s">
        <v>185</v>
      </c>
      <c r="C24" s="59">
        <v>6950</v>
      </c>
      <c r="D24" s="312">
        <f>+D25</f>
        <v>0</v>
      </c>
      <c r="E24" s="311">
        <f t="shared" ref="E24:E35" si="2">C24+D24</f>
        <v>6950</v>
      </c>
    </row>
    <row r="25" spans="1:5" ht="51.75" thickBot="1" x14ac:dyDescent="0.3">
      <c r="A25" s="230" t="s">
        <v>230</v>
      </c>
      <c r="B25" s="231" t="s">
        <v>186</v>
      </c>
      <c r="C25" s="281">
        <v>6950</v>
      </c>
      <c r="D25" s="305">
        <v>0</v>
      </c>
      <c r="E25" s="307">
        <f t="shared" si="2"/>
        <v>6950</v>
      </c>
    </row>
    <row r="26" spans="1:5" ht="20.25" x14ac:dyDescent="0.25">
      <c r="A26" s="316"/>
      <c r="B26" s="317" t="s">
        <v>187</v>
      </c>
      <c r="C26" s="269">
        <v>1037.7249999999999</v>
      </c>
      <c r="D26" s="269">
        <f>+D27</f>
        <v>0</v>
      </c>
      <c r="E26" s="308">
        <f t="shared" si="2"/>
        <v>1037.7249999999999</v>
      </c>
    </row>
    <row r="27" spans="1:5" ht="63.75" x14ac:dyDescent="0.25">
      <c r="A27" s="318" t="s">
        <v>188</v>
      </c>
      <c r="B27" s="44" t="s">
        <v>189</v>
      </c>
      <c r="C27" s="48">
        <v>1037.7249999999999</v>
      </c>
      <c r="D27" s="320">
        <f>SUM(D28:D29)</f>
        <v>0</v>
      </c>
      <c r="E27" s="322">
        <f t="shared" si="2"/>
        <v>1037.7249999999999</v>
      </c>
    </row>
    <row r="28" spans="1:5" ht="102" x14ac:dyDescent="0.25">
      <c r="A28" s="319" t="s">
        <v>190</v>
      </c>
      <c r="B28" s="61" t="s">
        <v>191</v>
      </c>
      <c r="C28" s="62">
        <v>144.495</v>
      </c>
      <c r="D28" s="313">
        <v>0</v>
      </c>
      <c r="E28" s="321">
        <f t="shared" si="2"/>
        <v>144.495</v>
      </c>
    </row>
    <row r="29" spans="1:5" ht="115.5" thickBot="1" x14ac:dyDescent="0.3">
      <c r="A29" s="230" t="s">
        <v>192</v>
      </c>
      <c r="B29" s="231" t="s">
        <v>193</v>
      </c>
      <c r="C29" s="286">
        <v>893.23</v>
      </c>
      <c r="D29" s="305">
        <v>0</v>
      </c>
      <c r="E29" s="323">
        <f t="shared" si="2"/>
        <v>893.23</v>
      </c>
    </row>
    <row r="30" spans="1:5" ht="26.25" thickBot="1" x14ac:dyDescent="0.3">
      <c r="A30" s="335" t="s">
        <v>194</v>
      </c>
      <c r="B30" s="336" t="s">
        <v>195</v>
      </c>
      <c r="C30" s="337">
        <v>20974.665999999997</v>
      </c>
      <c r="D30" s="337">
        <f>+D31</f>
        <v>0</v>
      </c>
      <c r="E30" s="406">
        <f t="shared" si="2"/>
        <v>20974.665999999997</v>
      </c>
    </row>
    <row r="31" spans="1:5" ht="63.75" x14ac:dyDescent="0.25">
      <c r="A31" s="324" t="s">
        <v>196</v>
      </c>
      <c r="B31" s="325" t="s">
        <v>197</v>
      </c>
      <c r="C31" s="326">
        <v>20974.665999999997</v>
      </c>
      <c r="D31" s="326">
        <f>+D32+D33+D38+D41</f>
        <v>0</v>
      </c>
      <c r="E31" s="330">
        <f t="shared" si="2"/>
        <v>20974.665999999997</v>
      </c>
    </row>
    <row r="32" spans="1:5" ht="51.75" customHeight="1" thickBot="1" x14ac:dyDescent="0.3">
      <c r="A32" s="331" t="s">
        <v>198</v>
      </c>
      <c r="B32" s="332" t="s">
        <v>199</v>
      </c>
      <c r="C32" s="333">
        <v>17461.8</v>
      </c>
      <c r="D32" s="293"/>
      <c r="E32" s="369">
        <f t="shared" si="2"/>
        <v>17461.8</v>
      </c>
    </row>
    <row r="33" spans="1:5" ht="38.25" x14ac:dyDescent="0.25">
      <c r="A33" s="324" t="s">
        <v>200</v>
      </c>
      <c r="B33" s="325" t="s">
        <v>201</v>
      </c>
      <c r="C33" s="326">
        <v>3211.9459999999999</v>
      </c>
      <c r="D33" s="326">
        <f>SUM(D34:D37)</f>
        <v>0</v>
      </c>
      <c r="E33" s="328">
        <f t="shared" si="2"/>
        <v>3211.9459999999999</v>
      </c>
    </row>
    <row r="34" spans="1:5" s="71" customFormat="1" ht="48.75" customHeight="1" x14ac:dyDescent="0.2">
      <c r="A34" s="227" t="s">
        <v>202</v>
      </c>
      <c r="B34" s="69" t="s">
        <v>203</v>
      </c>
      <c r="C34" s="70">
        <v>0</v>
      </c>
      <c r="D34" s="218"/>
      <c r="E34" s="329">
        <f t="shared" si="2"/>
        <v>0</v>
      </c>
    </row>
    <row r="35" spans="1:5" s="71" customFormat="1" ht="57.75" customHeight="1" x14ac:dyDescent="0.2">
      <c r="A35" s="227" t="s">
        <v>378</v>
      </c>
      <c r="B35" s="69" t="s">
        <v>379</v>
      </c>
      <c r="C35" s="214">
        <v>2590.346</v>
      </c>
      <c r="D35" s="70"/>
      <c r="E35" s="284">
        <f t="shared" si="2"/>
        <v>2590.346</v>
      </c>
    </row>
    <row r="36" spans="1:5" ht="25.5" x14ac:dyDescent="0.25">
      <c r="A36" s="229" t="s">
        <v>204</v>
      </c>
      <c r="B36" s="51" t="s">
        <v>205</v>
      </c>
      <c r="C36" s="47">
        <v>621.6</v>
      </c>
      <c r="D36" s="215"/>
      <c r="E36" s="329">
        <f t="shared" ref="E36:E37" si="3">C36+D36</f>
        <v>621.6</v>
      </c>
    </row>
    <row r="37" spans="1:5" ht="57.75" customHeight="1" thickBot="1" x14ac:dyDescent="0.3">
      <c r="A37" s="230" t="s">
        <v>206</v>
      </c>
      <c r="B37" s="231" t="s">
        <v>207</v>
      </c>
      <c r="C37" s="272">
        <v>0</v>
      </c>
      <c r="D37" s="385"/>
      <c r="E37" s="386">
        <f t="shared" si="3"/>
        <v>0</v>
      </c>
    </row>
    <row r="38" spans="1:5" ht="46.5" customHeight="1" x14ac:dyDescent="0.25">
      <c r="A38" s="324" t="s">
        <v>208</v>
      </c>
      <c r="B38" s="325" t="s">
        <v>209</v>
      </c>
      <c r="C38" s="326">
        <v>300.91999999999996</v>
      </c>
      <c r="D38" s="326">
        <f>SUM(D39:D40)</f>
        <v>0</v>
      </c>
      <c r="E38" s="328">
        <f t="shared" ref="E38:E43" si="4">C38+D38</f>
        <v>300.91999999999996</v>
      </c>
    </row>
    <row r="39" spans="1:5" ht="54" customHeight="1" x14ac:dyDescent="0.25">
      <c r="A39" s="229" t="s">
        <v>210</v>
      </c>
      <c r="B39" s="51" t="s">
        <v>211</v>
      </c>
      <c r="C39" s="62">
        <v>3.52</v>
      </c>
      <c r="D39" s="215"/>
      <c r="E39" s="338">
        <f t="shared" si="4"/>
        <v>3.52</v>
      </c>
    </row>
    <row r="40" spans="1:5" ht="50.25" customHeight="1" thickBot="1" x14ac:dyDescent="0.3">
      <c r="A40" s="230" t="s">
        <v>212</v>
      </c>
      <c r="B40" s="231" t="s">
        <v>213</v>
      </c>
      <c r="C40" s="286">
        <v>297.39999999999998</v>
      </c>
      <c r="D40" s="293"/>
      <c r="E40" s="339">
        <f t="shared" si="4"/>
        <v>297.39999999999998</v>
      </c>
    </row>
    <row r="41" spans="1:5" ht="23.25" customHeight="1" x14ac:dyDescent="0.25">
      <c r="A41" s="324" t="s">
        <v>214</v>
      </c>
      <c r="B41" s="325" t="s">
        <v>102</v>
      </c>
      <c r="C41" s="340">
        <v>0</v>
      </c>
      <c r="D41" s="340">
        <f>D42</f>
        <v>0</v>
      </c>
      <c r="E41" s="327">
        <f t="shared" si="4"/>
        <v>0</v>
      </c>
    </row>
    <row r="42" spans="1:5" ht="39" thickBot="1" x14ac:dyDescent="0.3">
      <c r="A42" s="230" t="s">
        <v>215</v>
      </c>
      <c r="B42" s="231" t="s">
        <v>216</v>
      </c>
      <c r="C42" s="272">
        <v>0</v>
      </c>
      <c r="D42" s="293"/>
      <c r="E42" s="334">
        <f t="shared" si="4"/>
        <v>0</v>
      </c>
    </row>
    <row r="43" spans="1:5" ht="18.75" x14ac:dyDescent="0.25">
      <c r="A43" s="245"/>
      <c r="B43" s="246" t="s">
        <v>217</v>
      </c>
      <c r="C43" s="289">
        <v>49443.610999999997</v>
      </c>
      <c r="D43" s="289">
        <f>+D30+D10</f>
        <v>0</v>
      </c>
      <c r="E43" s="351">
        <f t="shared" si="4"/>
        <v>49443.610999999997</v>
      </c>
    </row>
    <row r="44" spans="1:5" ht="14.25" customHeight="1" x14ac:dyDescent="0.25"/>
  </sheetData>
  <mergeCells count="1">
    <mergeCell ref="A6:E8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44"/>
  <sheetViews>
    <sheetView workbookViewId="0">
      <selection activeCell="C4" sqref="C4:E4"/>
    </sheetView>
  </sheetViews>
  <sheetFormatPr defaultRowHeight="15" x14ac:dyDescent="0.25"/>
  <cols>
    <col min="1" max="1" width="20.85546875" style="409" customWidth="1"/>
    <col min="2" max="2" width="31.85546875" style="409" customWidth="1"/>
    <col min="3" max="3" width="14.42578125" style="409" customWidth="1"/>
    <col min="4" max="4" width="12.28515625" style="409" customWidth="1"/>
    <col min="5" max="5" width="13.42578125" style="409" customWidth="1"/>
    <col min="6" max="254" width="9.140625" style="409"/>
    <col min="255" max="255" width="24.140625" style="409" customWidth="1"/>
    <col min="256" max="256" width="48.7109375" style="409" customWidth="1"/>
    <col min="257" max="257" width="14.140625" style="409" customWidth="1"/>
    <col min="258" max="258" width="14.28515625" style="409" customWidth="1"/>
    <col min="259" max="259" width="15.28515625" style="409" customWidth="1"/>
    <col min="260" max="510" width="9.140625" style="409"/>
    <col min="511" max="511" width="24.140625" style="409" customWidth="1"/>
    <col min="512" max="512" width="48.7109375" style="409" customWidth="1"/>
    <col min="513" max="513" width="14.140625" style="409" customWidth="1"/>
    <col min="514" max="514" width="14.28515625" style="409" customWidth="1"/>
    <col min="515" max="515" width="15.28515625" style="409" customWidth="1"/>
    <col min="516" max="766" width="9.140625" style="409"/>
    <col min="767" max="767" width="24.140625" style="409" customWidth="1"/>
    <col min="768" max="768" width="48.7109375" style="409" customWidth="1"/>
    <col min="769" max="769" width="14.140625" style="409" customWidth="1"/>
    <col min="770" max="770" width="14.28515625" style="409" customWidth="1"/>
    <col min="771" max="771" width="15.28515625" style="409" customWidth="1"/>
    <col min="772" max="1022" width="9.140625" style="409"/>
    <col min="1023" max="1023" width="24.140625" style="409" customWidth="1"/>
    <col min="1024" max="1024" width="48.7109375" style="409" customWidth="1"/>
    <col min="1025" max="1025" width="14.140625" style="409" customWidth="1"/>
    <col min="1026" max="1026" width="14.28515625" style="409" customWidth="1"/>
    <col min="1027" max="1027" width="15.28515625" style="409" customWidth="1"/>
    <col min="1028" max="1278" width="9.140625" style="409"/>
    <col min="1279" max="1279" width="24.140625" style="409" customWidth="1"/>
    <col min="1280" max="1280" width="48.7109375" style="409" customWidth="1"/>
    <col min="1281" max="1281" width="14.140625" style="409" customWidth="1"/>
    <col min="1282" max="1282" width="14.28515625" style="409" customWidth="1"/>
    <col min="1283" max="1283" width="15.28515625" style="409" customWidth="1"/>
    <col min="1284" max="1534" width="9.140625" style="409"/>
    <col min="1535" max="1535" width="24.140625" style="409" customWidth="1"/>
    <col min="1536" max="1536" width="48.7109375" style="409" customWidth="1"/>
    <col min="1537" max="1537" width="14.140625" style="409" customWidth="1"/>
    <col min="1538" max="1538" width="14.28515625" style="409" customWidth="1"/>
    <col min="1539" max="1539" width="15.28515625" style="409" customWidth="1"/>
    <col min="1540" max="1790" width="9.140625" style="409"/>
    <col min="1791" max="1791" width="24.140625" style="409" customWidth="1"/>
    <col min="1792" max="1792" width="48.7109375" style="409" customWidth="1"/>
    <col min="1793" max="1793" width="14.140625" style="409" customWidth="1"/>
    <col min="1794" max="1794" width="14.28515625" style="409" customWidth="1"/>
    <col min="1795" max="1795" width="15.28515625" style="409" customWidth="1"/>
    <col min="1796" max="2046" width="9.140625" style="409"/>
    <col min="2047" max="2047" width="24.140625" style="409" customWidth="1"/>
    <col min="2048" max="2048" width="48.7109375" style="409" customWidth="1"/>
    <col min="2049" max="2049" width="14.140625" style="409" customWidth="1"/>
    <col min="2050" max="2050" width="14.28515625" style="409" customWidth="1"/>
    <col min="2051" max="2051" width="15.28515625" style="409" customWidth="1"/>
    <col min="2052" max="2302" width="9.140625" style="409"/>
    <col min="2303" max="2303" width="24.140625" style="409" customWidth="1"/>
    <col min="2304" max="2304" width="48.7109375" style="409" customWidth="1"/>
    <col min="2305" max="2305" width="14.140625" style="409" customWidth="1"/>
    <col min="2306" max="2306" width="14.28515625" style="409" customWidth="1"/>
    <col min="2307" max="2307" width="15.28515625" style="409" customWidth="1"/>
    <col min="2308" max="2558" width="9.140625" style="409"/>
    <col min="2559" max="2559" width="24.140625" style="409" customWidth="1"/>
    <col min="2560" max="2560" width="48.7109375" style="409" customWidth="1"/>
    <col min="2561" max="2561" width="14.140625" style="409" customWidth="1"/>
    <col min="2562" max="2562" width="14.28515625" style="409" customWidth="1"/>
    <col min="2563" max="2563" width="15.28515625" style="409" customWidth="1"/>
    <col min="2564" max="2814" width="9.140625" style="409"/>
    <col min="2815" max="2815" width="24.140625" style="409" customWidth="1"/>
    <col min="2816" max="2816" width="48.7109375" style="409" customWidth="1"/>
    <col min="2817" max="2817" width="14.140625" style="409" customWidth="1"/>
    <col min="2818" max="2818" width="14.28515625" style="409" customWidth="1"/>
    <col min="2819" max="2819" width="15.28515625" style="409" customWidth="1"/>
    <col min="2820" max="3070" width="9.140625" style="409"/>
    <col min="3071" max="3071" width="24.140625" style="409" customWidth="1"/>
    <col min="3072" max="3072" width="48.7109375" style="409" customWidth="1"/>
    <col min="3073" max="3073" width="14.140625" style="409" customWidth="1"/>
    <col min="3074" max="3074" width="14.28515625" style="409" customWidth="1"/>
    <col min="3075" max="3075" width="15.28515625" style="409" customWidth="1"/>
    <col min="3076" max="3326" width="9.140625" style="409"/>
    <col min="3327" max="3327" width="24.140625" style="409" customWidth="1"/>
    <col min="3328" max="3328" width="48.7109375" style="409" customWidth="1"/>
    <col min="3329" max="3329" width="14.140625" style="409" customWidth="1"/>
    <col min="3330" max="3330" width="14.28515625" style="409" customWidth="1"/>
    <col min="3331" max="3331" width="15.28515625" style="409" customWidth="1"/>
    <col min="3332" max="3582" width="9.140625" style="409"/>
    <col min="3583" max="3583" width="24.140625" style="409" customWidth="1"/>
    <col min="3584" max="3584" width="48.7109375" style="409" customWidth="1"/>
    <col min="3585" max="3585" width="14.140625" style="409" customWidth="1"/>
    <col min="3586" max="3586" width="14.28515625" style="409" customWidth="1"/>
    <col min="3587" max="3587" width="15.28515625" style="409" customWidth="1"/>
    <col min="3588" max="3838" width="9.140625" style="409"/>
    <col min="3839" max="3839" width="24.140625" style="409" customWidth="1"/>
    <col min="3840" max="3840" width="48.7109375" style="409" customWidth="1"/>
    <col min="3841" max="3841" width="14.140625" style="409" customWidth="1"/>
    <col min="3842" max="3842" width="14.28515625" style="409" customWidth="1"/>
    <col min="3843" max="3843" width="15.28515625" style="409" customWidth="1"/>
    <col min="3844" max="4094" width="9.140625" style="409"/>
    <col min="4095" max="4095" width="24.140625" style="409" customWidth="1"/>
    <col min="4096" max="4096" width="48.7109375" style="409" customWidth="1"/>
    <col min="4097" max="4097" width="14.140625" style="409" customWidth="1"/>
    <col min="4098" max="4098" width="14.28515625" style="409" customWidth="1"/>
    <col min="4099" max="4099" width="15.28515625" style="409" customWidth="1"/>
    <col min="4100" max="4350" width="9.140625" style="409"/>
    <col min="4351" max="4351" width="24.140625" style="409" customWidth="1"/>
    <col min="4352" max="4352" width="48.7109375" style="409" customWidth="1"/>
    <col min="4353" max="4353" width="14.140625" style="409" customWidth="1"/>
    <col min="4354" max="4354" width="14.28515625" style="409" customWidth="1"/>
    <col min="4355" max="4355" width="15.28515625" style="409" customWidth="1"/>
    <col min="4356" max="4606" width="9.140625" style="409"/>
    <col min="4607" max="4607" width="24.140625" style="409" customWidth="1"/>
    <col min="4608" max="4608" width="48.7109375" style="409" customWidth="1"/>
    <col min="4609" max="4609" width="14.140625" style="409" customWidth="1"/>
    <col min="4610" max="4610" width="14.28515625" style="409" customWidth="1"/>
    <col min="4611" max="4611" width="15.28515625" style="409" customWidth="1"/>
    <col min="4612" max="4862" width="9.140625" style="409"/>
    <col min="4863" max="4863" width="24.140625" style="409" customWidth="1"/>
    <col min="4864" max="4864" width="48.7109375" style="409" customWidth="1"/>
    <col min="4865" max="4865" width="14.140625" style="409" customWidth="1"/>
    <col min="4866" max="4866" width="14.28515625" style="409" customWidth="1"/>
    <col min="4867" max="4867" width="15.28515625" style="409" customWidth="1"/>
    <col min="4868" max="5118" width="9.140625" style="409"/>
    <col min="5119" max="5119" width="24.140625" style="409" customWidth="1"/>
    <col min="5120" max="5120" width="48.7109375" style="409" customWidth="1"/>
    <col min="5121" max="5121" width="14.140625" style="409" customWidth="1"/>
    <col min="5122" max="5122" width="14.28515625" style="409" customWidth="1"/>
    <col min="5123" max="5123" width="15.28515625" style="409" customWidth="1"/>
    <col min="5124" max="5374" width="9.140625" style="409"/>
    <col min="5375" max="5375" width="24.140625" style="409" customWidth="1"/>
    <col min="5376" max="5376" width="48.7109375" style="409" customWidth="1"/>
    <col min="5377" max="5377" width="14.140625" style="409" customWidth="1"/>
    <col min="5378" max="5378" width="14.28515625" style="409" customWidth="1"/>
    <col min="5379" max="5379" width="15.28515625" style="409" customWidth="1"/>
    <col min="5380" max="5630" width="9.140625" style="409"/>
    <col min="5631" max="5631" width="24.140625" style="409" customWidth="1"/>
    <col min="5632" max="5632" width="48.7109375" style="409" customWidth="1"/>
    <col min="5633" max="5633" width="14.140625" style="409" customWidth="1"/>
    <col min="5634" max="5634" width="14.28515625" style="409" customWidth="1"/>
    <col min="5635" max="5635" width="15.28515625" style="409" customWidth="1"/>
    <col min="5636" max="5886" width="9.140625" style="409"/>
    <col min="5887" max="5887" width="24.140625" style="409" customWidth="1"/>
    <col min="5888" max="5888" width="48.7109375" style="409" customWidth="1"/>
    <col min="5889" max="5889" width="14.140625" style="409" customWidth="1"/>
    <col min="5890" max="5890" width="14.28515625" style="409" customWidth="1"/>
    <col min="5891" max="5891" width="15.28515625" style="409" customWidth="1"/>
    <col min="5892" max="6142" width="9.140625" style="409"/>
    <col min="6143" max="6143" width="24.140625" style="409" customWidth="1"/>
    <col min="6144" max="6144" width="48.7109375" style="409" customWidth="1"/>
    <col min="6145" max="6145" width="14.140625" style="409" customWidth="1"/>
    <col min="6146" max="6146" width="14.28515625" style="409" customWidth="1"/>
    <col min="6147" max="6147" width="15.28515625" style="409" customWidth="1"/>
    <col min="6148" max="6398" width="9.140625" style="409"/>
    <col min="6399" max="6399" width="24.140625" style="409" customWidth="1"/>
    <col min="6400" max="6400" width="48.7109375" style="409" customWidth="1"/>
    <col min="6401" max="6401" width="14.140625" style="409" customWidth="1"/>
    <col min="6402" max="6402" width="14.28515625" style="409" customWidth="1"/>
    <col min="6403" max="6403" width="15.28515625" style="409" customWidth="1"/>
    <col min="6404" max="6654" width="9.140625" style="409"/>
    <col min="6655" max="6655" width="24.140625" style="409" customWidth="1"/>
    <col min="6656" max="6656" width="48.7109375" style="409" customWidth="1"/>
    <col min="6657" max="6657" width="14.140625" style="409" customWidth="1"/>
    <col min="6658" max="6658" width="14.28515625" style="409" customWidth="1"/>
    <col min="6659" max="6659" width="15.28515625" style="409" customWidth="1"/>
    <col min="6660" max="6910" width="9.140625" style="409"/>
    <col min="6911" max="6911" width="24.140625" style="409" customWidth="1"/>
    <col min="6912" max="6912" width="48.7109375" style="409" customWidth="1"/>
    <col min="6913" max="6913" width="14.140625" style="409" customWidth="1"/>
    <col min="6914" max="6914" width="14.28515625" style="409" customWidth="1"/>
    <col min="6915" max="6915" width="15.28515625" style="409" customWidth="1"/>
    <col min="6916" max="7166" width="9.140625" style="409"/>
    <col min="7167" max="7167" width="24.140625" style="409" customWidth="1"/>
    <col min="7168" max="7168" width="48.7109375" style="409" customWidth="1"/>
    <col min="7169" max="7169" width="14.140625" style="409" customWidth="1"/>
    <col min="7170" max="7170" width="14.28515625" style="409" customWidth="1"/>
    <col min="7171" max="7171" width="15.28515625" style="409" customWidth="1"/>
    <col min="7172" max="7422" width="9.140625" style="409"/>
    <col min="7423" max="7423" width="24.140625" style="409" customWidth="1"/>
    <col min="7424" max="7424" width="48.7109375" style="409" customWidth="1"/>
    <col min="7425" max="7425" width="14.140625" style="409" customWidth="1"/>
    <col min="7426" max="7426" width="14.28515625" style="409" customWidth="1"/>
    <col min="7427" max="7427" width="15.28515625" style="409" customWidth="1"/>
    <col min="7428" max="7678" width="9.140625" style="409"/>
    <col min="7679" max="7679" width="24.140625" style="409" customWidth="1"/>
    <col min="7680" max="7680" width="48.7109375" style="409" customWidth="1"/>
    <col min="7681" max="7681" width="14.140625" style="409" customWidth="1"/>
    <col min="7682" max="7682" width="14.28515625" style="409" customWidth="1"/>
    <col min="7683" max="7683" width="15.28515625" style="409" customWidth="1"/>
    <col min="7684" max="7934" width="9.140625" style="409"/>
    <col min="7935" max="7935" width="24.140625" style="409" customWidth="1"/>
    <col min="7936" max="7936" width="48.7109375" style="409" customWidth="1"/>
    <col min="7937" max="7937" width="14.140625" style="409" customWidth="1"/>
    <col min="7938" max="7938" width="14.28515625" style="409" customWidth="1"/>
    <col min="7939" max="7939" width="15.28515625" style="409" customWidth="1"/>
    <col min="7940" max="8190" width="9.140625" style="409"/>
    <col min="8191" max="8191" width="24.140625" style="409" customWidth="1"/>
    <col min="8192" max="8192" width="48.7109375" style="409" customWidth="1"/>
    <col min="8193" max="8193" width="14.140625" style="409" customWidth="1"/>
    <col min="8194" max="8194" width="14.28515625" style="409" customWidth="1"/>
    <col min="8195" max="8195" width="15.28515625" style="409" customWidth="1"/>
    <col min="8196" max="8446" width="9.140625" style="409"/>
    <col min="8447" max="8447" width="24.140625" style="409" customWidth="1"/>
    <col min="8448" max="8448" width="48.7109375" style="409" customWidth="1"/>
    <col min="8449" max="8449" width="14.140625" style="409" customWidth="1"/>
    <col min="8450" max="8450" width="14.28515625" style="409" customWidth="1"/>
    <col min="8451" max="8451" width="15.28515625" style="409" customWidth="1"/>
    <col min="8452" max="8702" width="9.140625" style="409"/>
    <col min="8703" max="8703" width="24.140625" style="409" customWidth="1"/>
    <col min="8704" max="8704" width="48.7109375" style="409" customWidth="1"/>
    <col min="8705" max="8705" width="14.140625" style="409" customWidth="1"/>
    <col min="8706" max="8706" width="14.28515625" style="409" customWidth="1"/>
    <col min="8707" max="8707" width="15.28515625" style="409" customWidth="1"/>
    <col min="8708" max="8958" width="9.140625" style="409"/>
    <col min="8959" max="8959" width="24.140625" style="409" customWidth="1"/>
    <col min="8960" max="8960" width="48.7109375" style="409" customWidth="1"/>
    <col min="8961" max="8961" width="14.140625" style="409" customWidth="1"/>
    <col min="8962" max="8962" width="14.28515625" style="409" customWidth="1"/>
    <col min="8963" max="8963" width="15.28515625" style="409" customWidth="1"/>
    <col min="8964" max="9214" width="9.140625" style="409"/>
    <col min="9215" max="9215" width="24.140625" style="409" customWidth="1"/>
    <col min="9216" max="9216" width="48.7109375" style="409" customWidth="1"/>
    <col min="9217" max="9217" width="14.140625" style="409" customWidth="1"/>
    <col min="9218" max="9218" width="14.28515625" style="409" customWidth="1"/>
    <col min="9219" max="9219" width="15.28515625" style="409" customWidth="1"/>
    <col min="9220" max="9470" width="9.140625" style="409"/>
    <col min="9471" max="9471" width="24.140625" style="409" customWidth="1"/>
    <col min="9472" max="9472" width="48.7109375" style="409" customWidth="1"/>
    <col min="9473" max="9473" width="14.140625" style="409" customWidth="1"/>
    <col min="9474" max="9474" width="14.28515625" style="409" customWidth="1"/>
    <col min="9475" max="9475" width="15.28515625" style="409" customWidth="1"/>
    <col min="9476" max="9726" width="9.140625" style="409"/>
    <col min="9727" max="9727" width="24.140625" style="409" customWidth="1"/>
    <col min="9728" max="9728" width="48.7109375" style="409" customWidth="1"/>
    <col min="9729" max="9729" width="14.140625" style="409" customWidth="1"/>
    <col min="9730" max="9730" width="14.28515625" style="409" customWidth="1"/>
    <col min="9731" max="9731" width="15.28515625" style="409" customWidth="1"/>
    <col min="9732" max="9982" width="9.140625" style="409"/>
    <col min="9983" max="9983" width="24.140625" style="409" customWidth="1"/>
    <col min="9984" max="9984" width="48.7109375" style="409" customWidth="1"/>
    <col min="9985" max="9985" width="14.140625" style="409" customWidth="1"/>
    <col min="9986" max="9986" width="14.28515625" style="409" customWidth="1"/>
    <col min="9987" max="9987" width="15.28515625" style="409" customWidth="1"/>
    <col min="9988" max="10238" width="9.140625" style="409"/>
    <col min="10239" max="10239" width="24.140625" style="409" customWidth="1"/>
    <col min="10240" max="10240" width="48.7109375" style="409" customWidth="1"/>
    <col min="10241" max="10241" width="14.140625" style="409" customWidth="1"/>
    <col min="10242" max="10242" width="14.28515625" style="409" customWidth="1"/>
    <col min="10243" max="10243" width="15.28515625" style="409" customWidth="1"/>
    <col min="10244" max="10494" width="9.140625" style="409"/>
    <col min="10495" max="10495" width="24.140625" style="409" customWidth="1"/>
    <col min="10496" max="10496" width="48.7109375" style="409" customWidth="1"/>
    <col min="10497" max="10497" width="14.140625" style="409" customWidth="1"/>
    <col min="10498" max="10498" width="14.28515625" style="409" customWidth="1"/>
    <col min="10499" max="10499" width="15.28515625" style="409" customWidth="1"/>
    <col min="10500" max="10750" width="9.140625" style="409"/>
    <col min="10751" max="10751" width="24.140625" style="409" customWidth="1"/>
    <col min="10752" max="10752" width="48.7109375" style="409" customWidth="1"/>
    <col min="10753" max="10753" width="14.140625" style="409" customWidth="1"/>
    <col min="10754" max="10754" width="14.28515625" style="409" customWidth="1"/>
    <col min="10755" max="10755" width="15.28515625" style="409" customWidth="1"/>
    <col min="10756" max="11006" width="9.140625" style="409"/>
    <col min="11007" max="11007" width="24.140625" style="409" customWidth="1"/>
    <col min="11008" max="11008" width="48.7109375" style="409" customWidth="1"/>
    <col min="11009" max="11009" width="14.140625" style="409" customWidth="1"/>
    <col min="11010" max="11010" width="14.28515625" style="409" customWidth="1"/>
    <col min="11011" max="11011" width="15.28515625" style="409" customWidth="1"/>
    <col min="11012" max="11262" width="9.140625" style="409"/>
    <col min="11263" max="11263" width="24.140625" style="409" customWidth="1"/>
    <col min="11264" max="11264" width="48.7109375" style="409" customWidth="1"/>
    <col min="11265" max="11265" width="14.140625" style="409" customWidth="1"/>
    <col min="11266" max="11266" width="14.28515625" style="409" customWidth="1"/>
    <col min="11267" max="11267" width="15.28515625" style="409" customWidth="1"/>
    <col min="11268" max="11518" width="9.140625" style="409"/>
    <col min="11519" max="11519" width="24.140625" style="409" customWidth="1"/>
    <col min="11520" max="11520" width="48.7109375" style="409" customWidth="1"/>
    <col min="11521" max="11521" width="14.140625" style="409" customWidth="1"/>
    <col min="11522" max="11522" width="14.28515625" style="409" customWidth="1"/>
    <col min="11523" max="11523" width="15.28515625" style="409" customWidth="1"/>
    <col min="11524" max="11774" width="9.140625" style="409"/>
    <col min="11775" max="11775" width="24.140625" style="409" customWidth="1"/>
    <col min="11776" max="11776" width="48.7109375" style="409" customWidth="1"/>
    <col min="11777" max="11777" width="14.140625" style="409" customWidth="1"/>
    <col min="11778" max="11778" width="14.28515625" style="409" customWidth="1"/>
    <col min="11779" max="11779" width="15.28515625" style="409" customWidth="1"/>
    <col min="11780" max="12030" width="9.140625" style="409"/>
    <col min="12031" max="12031" width="24.140625" style="409" customWidth="1"/>
    <col min="12032" max="12032" width="48.7109375" style="409" customWidth="1"/>
    <col min="12033" max="12033" width="14.140625" style="409" customWidth="1"/>
    <col min="12034" max="12034" width="14.28515625" style="409" customWidth="1"/>
    <col min="12035" max="12035" width="15.28515625" style="409" customWidth="1"/>
    <col min="12036" max="12286" width="9.140625" style="409"/>
    <col min="12287" max="12287" width="24.140625" style="409" customWidth="1"/>
    <col min="12288" max="12288" width="48.7109375" style="409" customWidth="1"/>
    <col min="12289" max="12289" width="14.140625" style="409" customWidth="1"/>
    <col min="12290" max="12290" width="14.28515625" style="409" customWidth="1"/>
    <col min="12291" max="12291" width="15.28515625" style="409" customWidth="1"/>
    <col min="12292" max="12542" width="9.140625" style="409"/>
    <col min="12543" max="12543" width="24.140625" style="409" customWidth="1"/>
    <col min="12544" max="12544" width="48.7109375" style="409" customWidth="1"/>
    <col min="12545" max="12545" width="14.140625" style="409" customWidth="1"/>
    <col min="12546" max="12546" width="14.28515625" style="409" customWidth="1"/>
    <col min="12547" max="12547" width="15.28515625" style="409" customWidth="1"/>
    <col min="12548" max="12798" width="9.140625" style="409"/>
    <col min="12799" max="12799" width="24.140625" style="409" customWidth="1"/>
    <col min="12800" max="12800" width="48.7109375" style="409" customWidth="1"/>
    <col min="12801" max="12801" width="14.140625" style="409" customWidth="1"/>
    <col min="12802" max="12802" width="14.28515625" style="409" customWidth="1"/>
    <col min="12803" max="12803" width="15.28515625" style="409" customWidth="1"/>
    <col min="12804" max="13054" width="9.140625" style="409"/>
    <col min="13055" max="13055" width="24.140625" style="409" customWidth="1"/>
    <col min="13056" max="13056" width="48.7109375" style="409" customWidth="1"/>
    <col min="13057" max="13057" width="14.140625" style="409" customWidth="1"/>
    <col min="13058" max="13058" width="14.28515625" style="409" customWidth="1"/>
    <col min="13059" max="13059" width="15.28515625" style="409" customWidth="1"/>
    <col min="13060" max="13310" width="9.140625" style="409"/>
    <col min="13311" max="13311" width="24.140625" style="409" customWidth="1"/>
    <col min="13312" max="13312" width="48.7109375" style="409" customWidth="1"/>
    <col min="13313" max="13313" width="14.140625" style="409" customWidth="1"/>
    <col min="13314" max="13314" width="14.28515625" style="409" customWidth="1"/>
    <col min="13315" max="13315" width="15.28515625" style="409" customWidth="1"/>
    <col min="13316" max="13566" width="9.140625" style="409"/>
    <col min="13567" max="13567" width="24.140625" style="409" customWidth="1"/>
    <col min="13568" max="13568" width="48.7109375" style="409" customWidth="1"/>
    <col min="13569" max="13569" width="14.140625" style="409" customWidth="1"/>
    <col min="13570" max="13570" width="14.28515625" style="409" customWidth="1"/>
    <col min="13571" max="13571" width="15.28515625" style="409" customWidth="1"/>
    <col min="13572" max="13822" width="9.140625" style="409"/>
    <col min="13823" max="13823" width="24.140625" style="409" customWidth="1"/>
    <col min="13824" max="13824" width="48.7109375" style="409" customWidth="1"/>
    <col min="13825" max="13825" width="14.140625" style="409" customWidth="1"/>
    <col min="13826" max="13826" width="14.28515625" style="409" customWidth="1"/>
    <col min="13827" max="13827" width="15.28515625" style="409" customWidth="1"/>
    <col min="13828" max="14078" width="9.140625" style="409"/>
    <col min="14079" max="14079" width="24.140625" style="409" customWidth="1"/>
    <col min="14080" max="14080" width="48.7109375" style="409" customWidth="1"/>
    <col min="14081" max="14081" width="14.140625" style="409" customWidth="1"/>
    <col min="14082" max="14082" width="14.28515625" style="409" customWidth="1"/>
    <col min="14083" max="14083" width="15.28515625" style="409" customWidth="1"/>
    <col min="14084" max="14334" width="9.140625" style="409"/>
    <col min="14335" max="14335" width="24.140625" style="409" customWidth="1"/>
    <col min="14336" max="14336" width="48.7109375" style="409" customWidth="1"/>
    <col min="14337" max="14337" width="14.140625" style="409" customWidth="1"/>
    <col min="14338" max="14338" width="14.28515625" style="409" customWidth="1"/>
    <col min="14339" max="14339" width="15.28515625" style="409" customWidth="1"/>
    <col min="14340" max="14590" width="9.140625" style="409"/>
    <col min="14591" max="14591" width="24.140625" style="409" customWidth="1"/>
    <col min="14592" max="14592" width="48.7109375" style="409" customWidth="1"/>
    <col min="14593" max="14593" width="14.140625" style="409" customWidth="1"/>
    <col min="14594" max="14594" width="14.28515625" style="409" customWidth="1"/>
    <col min="14595" max="14595" width="15.28515625" style="409" customWidth="1"/>
    <col min="14596" max="14846" width="9.140625" style="409"/>
    <col min="14847" max="14847" width="24.140625" style="409" customWidth="1"/>
    <col min="14848" max="14848" width="48.7109375" style="409" customWidth="1"/>
    <col min="14849" max="14849" width="14.140625" style="409" customWidth="1"/>
    <col min="14850" max="14850" width="14.28515625" style="409" customWidth="1"/>
    <col min="14851" max="14851" width="15.28515625" style="409" customWidth="1"/>
    <col min="14852" max="15102" width="9.140625" style="409"/>
    <col min="15103" max="15103" width="24.140625" style="409" customWidth="1"/>
    <col min="15104" max="15104" width="48.7109375" style="409" customWidth="1"/>
    <col min="15105" max="15105" width="14.140625" style="409" customWidth="1"/>
    <col min="15106" max="15106" width="14.28515625" style="409" customWidth="1"/>
    <col min="15107" max="15107" width="15.28515625" style="409" customWidth="1"/>
    <col min="15108" max="15358" width="9.140625" style="409"/>
    <col min="15359" max="15359" width="24.140625" style="409" customWidth="1"/>
    <col min="15360" max="15360" width="48.7109375" style="409" customWidth="1"/>
    <col min="15361" max="15361" width="14.140625" style="409" customWidth="1"/>
    <col min="15362" max="15362" width="14.28515625" style="409" customWidth="1"/>
    <col min="15363" max="15363" width="15.28515625" style="409" customWidth="1"/>
    <col min="15364" max="15614" width="9.140625" style="409"/>
    <col min="15615" max="15615" width="24.140625" style="409" customWidth="1"/>
    <col min="15616" max="15616" width="48.7109375" style="409" customWidth="1"/>
    <col min="15617" max="15617" width="14.140625" style="409" customWidth="1"/>
    <col min="15618" max="15618" width="14.28515625" style="409" customWidth="1"/>
    <col min="15619" max="15619" width="15.28515625" style="409" customWidth="1"/>
    <col min="15620" max="15870" width="9.140625" style="409"/>
    <col min="15871" max="15871" width="24.140625" style="409" customWidth="1"/>
    <col min="15872" max="15872" width="48.7109375" style="409" customWidth="1"/>
    <col min="15873" max="15873" width="14.140625" style="409" customWidth="1"/>
    <col min="15874" max="15874" width="14.28515625" style="409" customWidth="1"/>
    <col min="15875" max="15875" width="15.28515625" style="409" customWidth="1"/>
    <col min="15876" max="16126" width="9.140625" style="409"/>
    <col min="16127" max="16127" width="24.140625" style="409" customWidth="1"/>
    <col min="16128" max="16128" width="48.7109375" style="409" customWidth="1"/>
    <col min="16129" max="16129" width="14.140625" style="409" customWidth="1"/>
    <col min="16130" max="16130" width="14.28515625" style="409" customWidth="1"/>
    <col min="16131" max="16131" width="15.28515625" style="409" customWidth="1"/>
    <col min="16132" max="16384" width="9.140625" style="409"/>
  </cols>
  <sheetData>
    <row r="1" spans="1:5" x14ac:dyDescent="0.25">
      <c r="B1" s="517" t="s">
        <v>219</v>
      </c>
      <c r="C1" s="518"/>
      <c r="D1" s="518"/>
      <c r="E1" s="518"/>
    </row>
    <row r="2" spans="1:5" x14ac:dyDescent="0.25">
      <c r="B2" s="517" t="s">
        <v>220</v>
      </c>
      <c r="C2" s="518"/>
      <c r="D2" s="518"/>
      <c r="E2" s="518"/>
    </row>
    <row r="3" spans="1:5" x14ac:dyDescent="0.25">
      <c r="C3" s="519" t="s">
        <v>221</v>
      </c>
      <c r="D3" s="513"/>
      <c r="E3" s="513"/>
    </row>
    <row r="4" spans="1:5" x14ac:dyDescent="0.25">
      <c r="A4"/>
      <c r="C4" s="519" t="s">
        <v>523</v>
      </c>
      <c r="D4" s="513"/>
      <c r="E4" s="513"/>
    </row>
    <row r="5" spans="1:5" x14ac:dyDescent="0.25">
      <c r="A5"/>
    </row>
    <row r="6" spans="1:5" ht="15.6" customHeight="1" x14ac:dyDescent="0.25">
      <c r="A6" s="506" t="s">
        <v>412</v>
      </c>
      <c r="B6" s="506"/>
      <c r="C6" s="512"/>
      <c r="D6" s="513"/>
      <c r="E6" s="513"/>
    </row>
    <row r="7" spans="1:5" ht="15.6" customHeight="1" x14ac:dyDescent="0.25">
      <c r="A7" s="506"/>
      <c r="B7" s="506"/>
      <c r="C7" s="512"/>
      <c r="D7" s="513"/>
      <c r="E7" s="513"/>
    </row>
    <row r="8" spans="1:5" ht="15.6" customHeight="1" thickBot="1" x14ac:dyDescent="0.3">
      <c r="A8" s="514"/>
      <c r="B8" s="514"/>
      <c r="C8" s="515"/>
      <c r="D8" s="516"/>
      <c r="E8" s="516"/>
    </row>
    <row r="9" spans="1:5" ht="87" customHeight="1" x14ac:dyDescent="0.25">
      <c r="A9" s="341" t="s">
        <v>161</v>
      </c>
      <c r="B9" s="325" t="s">
        <v>11</v>
      </c>
      <c r="C9" s="325" t="s">
        <v>164</v>
      </c>
      <c r="D9" s="342" t="s">
        <v>369</v>
      </c>
      <c r="E9" s="343" t="s">
        <v>371</v>
      </c>
    </row>
    <row r="10" spans="1:5" ht="60.75" x14ac:dyDescent="0.25">
      <c r="A10" s="344"/>
      <c r="B10" s="56" t="s">
        <v>165</v>
      </c>
      <c r="C10" s="63">
        <v>28468945</v>
      </c>
      <c r="D10" s="63">
        <f>+D11+D26</f>
        <v>0</v>
      </c>
      <c r="E10" s="348">
        <f>C10+D10</f>
        <v>28468945</v>
      </c>
    </row>
    <row r="11" spans="1:5" ht="21" thickBot="1" x14ac:dyDescent="0.3">
      <c r="A11" s="345"/>
      <c r="B11" s="346" t="s">
        <v>166</v>
      </c>
      <c r="C11" s="347">
        <v>27431220</v>
      </c>
      <c r="D11" s="347">
        <f>+D12+D14+D17+D19+D21</f>
        <v>0</v>
      </c>
      <c r="E11" s="334">
        <f>C11+D11</f>
        <v>27431220</v>
      </c>
    </row>
    <row r="12" spans="1:5" ht="21" x14ac:dyDescent="0.25">
      <c r="A12" s="260" t="s">
        <v>167</v>
      </c>
      <c r="B12" s="261" t="s">
        <v>168</v>
      </c>
      <c r="C12" s="294">
        <v>2750000</v>
      </c>
      <c r="D12" s="294">
        <f>SUM(D13:D13)</f>
        <v>0</v>
      </c>
      <c r="E12" s="300">
        <f>C12+D12</f>
        <v>2750000</v>
      </c>
    </row>
    <row r="13" spans="1:5" ht="102.75" thickBot="1" x14ac:dyDescent="0.3">
      <c r="A13" s="230" t="s">
        <v>227</v>
      </c>
      <c r="B13" s="231" t="s">
        <v>169</v>
      </c>
      <c r="C13" s="295">
        <v>2750000</v>
      </c>
      <c r="D13" s="297"/>
      <c r="E13" s="298">
        <f>C13+D13</f>
        <v>2750000</v>
      </c>
    </row>
    <row r="14" spans="1:5" ht="79.5" thickBot="1" x14ac:dyDescent="0.3">
      <c r="A14" s="223" t="s">
        <v>170</v>
      </c>
      <c r="B14" s="268" t="s">
        <v>171</v>
      </c>
      <c r="C14" s="301">
        <v>2418460</v>
      </c>
      <c r="D14" s="301">
        <f>SUM(D15:D16)</f>
        <v>0</v>
      </c>
      <c r="E14" s="296">
        <f>C14+D14</f>
        <v>2418460</v>
      </c>
    </row>
    <row r="15" spans="1:5" ht="102.75" thickBot="1" x14ac:dyDescent="0.3">
      <c r="A15" s="229" t="s">
        <v>225</v>
      </c>
      <c r="B15" s="51" t="s">
        <v>344</v>
      </c>
      <c r="C15" s="200">
        <v>851860</v>
      </c>
      <c r="D15" s="299"/>
      <c r="E15" s="296">
        <f t="shared" ref="E15:E22" si="0">C15+D15</f>
        <v>851860</v>
      </c>
    </row>
    <row r="16" spans="1:5" ht="102.75" thickBot="1" x14ac:dyDescent="0.3">
      <c r="A16" s="287" t="s">
        <v>226</v>
      </c>
      <c r="B16" s="288" t="s">
        <v>172</v>
      </c>
      <c r="C16" s="302">
        <v>1566600</v>
      </c>
      <c r="D16" s="292"/>
      <c r="E16" s="303">
        <f t="shared" si="0"/>
        <v>1566600</v>
      </c>
    </row>
    <row r="17" spans="1:5" ht="26.25" customHeight="1" x14ac:dyDescent="0.25">
      <c r="A17" s="223" t="s">
        <v>173</v>
      </c>
      <c r="B17" s="224" t="s">
        <v>174</v>
      </c>
      <c r="C17" s="269">
        <v>355000</v>
      </c>
      <c r="D17" s="269">
        <f>+D18</f>
        <v>0</v>
      </c>
      <c r="E17" s="308">
        <f t="shared" si="0"/>
        <v>355000</v>
      </c>
    </row>
    <row r="18" spans="1:5" ht="15.75" customHeight="1" thickBot="1" x14ac:dyDescent="0.3">
      <c r="A18" s="230" t="s">
        <v>175</v>
      </c>
      <c r="B18" s="231" t="s">
        <v>174</v>
      </c>
      <c r="C18" s="349">
        <v>355000</v>
      </c>
      <c r="D18" s="350"/>
      <c r="E18" s="309">
        <f t="shared" si="0"/>
        <v>355000</v>
      </c>
    </row>
    <row r="19" spans="1:5" ht="31.5" x14ac:dyDescent="0.25">
      <c r="A19" s="223" t="s">
        <v>176</v>
      </c>
      <c r="B19" s="268" t="s">
        <v>177</v>
      </c>
      <c r="C19" s="269">
        <v>1657760</v>
      </c>
      <c r="D19" s="304">
        <f>+D20</f>
        <v>0</v>
      </c>
      <c r="E19" s="308">
        <f t="shared" si="0"/>
        <v>1657760</v>
      </c>
    </row>
    <row r="20" spans="1:5" ht="64.5" thickBot="1" x14ac:dyDescent="0.3">
      <c r="A20" s="230" t="s">
        <v>228</v>
      </c>
      <c r="B20" s="231" t="s">
        <v>178</v>
      </c>
      <c r="C20" s="265">
        <v>1657760</v>
      </c>
      <c r="D20" s="306"/>
      <c r="E20" s="307">
        <f t="shared" si="0"/>
        <v>1657760</v>
      </c>
    </row>
    <row r="21" spans="1:5" ht="25.5" x14ac:dyDescent="0.25">
      <c r="A21" s="278" t="s">
        <v>179</v>
      </c>
      <c r="B21" s="268" t="s">
        <v>180</v>
      </c>
      <c r="C21" s="241">
        <v>20250000</v>
      </c>
      <c r="D21" s="241">
        <f>+D22+D24</f>
        <v>0</v>
      </c>
      <c r="E21" s="300">
        <f t="shared" si="0"/>
        <v>20250000</v>
      </c>
    </row>
    <row r="22" spans="1:5" ht="25.5" x14ac:dyDescent="0.25">
      <c r="A22" s="229" t="s">
        <v>181</v>
      </c>
      <c r="B22" s="51" t="s">
        <v>182</v>
      </c>
      <c r="C22" s="59">
        <v>13300000</v>
      </c>
      <c r="D22" s="59">
        <f>+D23</f>
        <v>0</v>
      </c>
      <c r="E22" s="311">
        <f t="shared" si="0"/>
        <v>13300000</v>
      </c>
    </row>
    <row r="23" spans="1:5" ht="51" x14ac:dyDescent="0.25">
      <c r="A23" s="229" t="s">
        <v>229</v>
      </c>
      <c r="B23" s="51" t="s">
        <v>183</v>
      </c>
      <c r="C23" s="60">
        <v>13300000</v>
      </c>
      <c r="D23" s="313">
        <v>0</v>
      </c>
      <c r="E23" s="310">
        <f>D23+C23</f>
        <v>13300000</v>
      </c>
    </row>
    <row r="24" spans="1:5" ht="25.5" x14ac:dyDescent="0.25">
      <c r="A24" s="229" t="s">
        <v>184</v>
      </c>
      <c r="B24" s="51" t="s">
        <v>185</v>
      </c>
      <c r="C24" s="59">
        <v>6950000</v>
      </c>
      <c r="D24" s="312">
        <f>+D25</f>
        <v>0</v>
      </c>
      <c r="E24" s="311">
        <f t="shared" ref="E24:E43" si="1">C24+D24</f>
        <v>6950000</v>
      </c>
    </row>
    <row r="25" spans="1:5" ht="51.75" thickBot="1" x14ac:dyDescent="0.3">
      <c r="A25" s="230" t="s">
        <v>230</v>
      </c>
      <c r="B25" s="231" t="s">
        <v>186</v>
      </c>
      <c r="C25" s="281">
        <v>6950000</v>
      </c>
      <c r="D25" s="305">
        <v>0</v>
      </c>
      <c r="E25" s="307">
        <f t="shared" si="1"/>
        <v>6950000</v>
      </c>
    </row>
    <row r="26" spans="1:5" ht="20.25" x14ac:dyDescent="0.25">
      <c r="A26" s="316"/>
      <c r="B26" s="317" t="s">
        <v>187</v>
      </c>
      <c r="C26" s="269">
        <v>1037725</v>
      </c>
      <c r="D26" s="269">
        <f>+D27</f>
        <v>0</v>
      </c>
      <c r="E26" s="308">
        <f t="shared" si="1"/>
        <v>1037725</v>
      </c>
    </row>
    <row r="27" spans="1:5" ht="63.75" x14ac:dyDescent="0.25">
      <c r="A27" s="318" t="s">
        <v>188</v>
      </c>
      <c r="B27" s="44" t="s">
        <v>189</v>
      </c>
      <c r="C27" s="48">
        <v>1037725</v>
      </c>
      <c r="D27" s="320">
        <f>SUM(D28:D29)</f>
        <v>0</v>
      </c>
      <c r="E27" s="322">
        <f t="shared" si="1"/>
        <v>1037725</v>
      </c>
    </row>
    <row r="28" spans="1:5" ht="102" x14ac:dyDescent="0.25">
      <c r="A28" s="319" t="s">
        <v>190</v>
      </c>
      <c r="B28" s="61" t="s">
        <v>191</v>
      </c>
      <c r="C28" s="62">
        <v>144495</v>
      </c>
      <c r="D28" s="313">
        <v>0</v>
      </c>
      <c r="E28" s="321">
        <f t="shared" si="1"/>
        <v>144495</v>
      </c>
    </row>
    <row r="29" spans="1:5" ht="115.5" thickBot="1" x14ac:dyDescent="0.3">
      <c r="A29" s="230" t="s">
        <v>192</v>
      </c>
      <c r="B29" s="231" t="s">
        <v>193</v>
      </c>
      <c r="C29" s="286">
        <v>893230</v>
      </c>
      <c r="D29" s="305">
        <v>0</v>
      </c>
      <c r="E29" s="323">
        <f t="shared" si="1"/>
        <v>893230</v>
      </c>
    </row>
    <row r="30" spans="1:5" ht="26.25" thickBot="1" x14ac:dyDescent="0.3">
      <c r="A30" s="335" t="s">
        <v>194</v>
      </c>
      <c r="B30" s="336" t="s">
        <v>195</v>
      </c>
      <c r="C30" s="337">
        <v>20974666.359999999</v>
      </c>
      <c r="D30" s="337">
        <f>+D31</f>
        <v>0</v>
      </c>
      <c r="E30" s="406">
        <f t="shared" si="1"/>
        <v>20974666.359999999</v>
      </c>
    </row>
    <row r="31" spans="1:5" ht="63.75" x14ac:dyDescent="0.25">
      <c r="A31" s="324" t="s">
        <v>196</v>
      </c>
      <c r="B31" s="325" t="s">
        <v>197</v>
      </c>
      <c r="C31" s="326">
        <v>20974666.359999999</v>
      </c>
      <c r="D31" s="326">
        <f>+D32+D33+D38+D41</f>
        <v>0</v>
      </c>
      <c r="E31" s="330">
        <f t="shared" si="1"/>
        <v>20974666.359999999</v>
      </c>
    </row>
    <row r="32" spans="1:5" ht="51.75" customHeight="1" thickBot="1" x14ac:dyDescent="0.3">
      <c r="A32" s="331" t="s">
        <v>198</v>
      </c>
      <c r="B32" s="332" t="s">
        <v>199</v>
      </c>
      <c r="C32" s="333">
        <v>17461800</v>
      </c>
      <c r="D32" s="293"/>
      <c r="E32" s="369">
        <f t="shared" si="1"/>
        <v>17461800</v>
      </c>
    </row>
    <row r="33" spans="1:5" ht="38.25" x14ac:dyDescent="0.25">
      <c r="A33" s="324" t="s">
        <v>200</v>
      </c>
      <c r="B33" s="325" t="s">
        <v>201</v>
      </c>
      <c r="C33" s="363">
        <v>3211946.36</v>
      </c>
      <c r="D33" s="363">
        <f>SUM(D34:D37)</f>
        <v>0</v>
      </c>
      <c r="E33" s="410">
        <f t="shared" si="1"/>
        <v>3211946.36</v>
      </c>
    </row>
    <row r="34" spans="1:5" s="71" customFormat="1" ht="48.75" customHeight="1" x14ac:dyDescent="0.2">
      <c r="A34" s="227" t="s">
        <v>202</v>
      </c>
      <c r="B34" s="69" t="s">
        <v>203</v>
      </c>
      <c r="C34" s="70">
        <v>0</v>
      </c>
      <c r="D34" s="218"/>
      <c r="E34" s="329">
        <f t="shared" si="1"/>
        <v>0</v>
      </c>
    </row>
    <row r="35" spans="1:5" s="71" customFormat="1" ht="60" customHeight="1" x14ac:dyDescent="0.2">
      <c r="A35" s="227" t="s">
        <v>378</v>
      </c>
      <c r="B35" s="69" t="s">
        <v>379</v>
      </c>
      <c r="C35" s="214">
        <v>2590346.36</v>
      </c>
      <c r="D35" s="70"/>
      <c r="E35" s="284">
        <f t="shared" si="1"/>
        <v>2590346.36</v>
      </c>
    </row>
    <row r="36" spans="1:5" ht="25.5" x14ac:dyDescent="0.25">
      <c r="A36" s="229" t="s">
        <v>204</v>
      </c>
      <c r="B36" s="51" t="s">
        <v>205</v>
      </c>
      <c r="C36" s="47">
        <v>621600</v>
      </c>
      <c r="D36" s="215"/>
      <c r="E36" s="329">
        <f t="shared" si="1"/>
        <v>621600</v>
      </c>
    </row>
    <row r="37" spans="1:5" ht="57.75" customHeight="1" thickBot="1" x14ac:dyDescent="0.3">
      <c r="A37" s="230" t="s">
        <v>206</v>
      </c>
      <c r="B37" s="231" t="s">
        <v>207</v>
      </c>
      <c r="C37" s="272">
        <v>0</v>
      </c>
      <c r="D37" s="385"/>
      <c r="E37" s="386">
        <f t="shared" si="1"/>
        <v>0</v>
      </c>
    </row>
    <row r="38" spans="1:5" ht="46.5" customHeight="1" x14ac:dyDescent="0.25">
      <c r="A38" s="324" t="s">
        <v>208</v>
      </c>
      <c r="B38" s="325" t="s">
        <v>209</v>
      </c>
      <c r="C38" s="326">
        <v>300920</v>
      </c>
      <c r="D38" s="326">
        <f>SUM(D39:D40)</f>
        <v>0</v>
      </c>
      <c r="E38" s="328">
        <f t="shared" si="1"/>
        <v>300920</v>
      </c>
    </row>
    <row r="39" spans="1:5" ht="54" customHeight="1" x14ac:dyDescent="0.25">
      <c r="A39" s="229" t="s">
        <v>210</v>
      </c>
      <c r="B39" s="51" t="s">
        <v>211</v>
      </c>
      <c r="C39" s="213">
        <v>3520</v>
      </c>
      <c r="D39" s="411">
        <v>0</v>
      </c>
      <c r="E39" s="412">
        <f t="shared" si="1"/>
        <v>3520</v>
      </c>
    </row>
    <row r="40" spans="1:5" ht="50.25" customHeight="1" thickBot="1" x14ac:dyDescent="0.3">
      <c r="A40" s="230" t="s">
        <v>212</v>
      </c>
      <c r="B40" s="231" t="s">
        <v>213</v>
      </c>
      <c r="C40" s="244">
        <v>297400</v>
      </c>
      <c r="D40" s="413"/>
      <c r="E40" s="267">
        <f t="shared" si="1"/>
        <v>297400</v>
      </c>
    </row>
    <row r="41" spans="1:5" ht="23.25" customHeight="1" x14ac:dyDescent="0.25">
      <c r="A41" s="324" t="s">
        <v>214</v>
      </c>
      <c r="B41" s="325" t="s">
        <v>102</v>
      </c>
      <c r="C41" s="340">
        <v>0</v>
      </c>
      <c r="D41" s="340">
        <f>D42</f>
        <v>0</v>
      </c>
      <c r="E41" s="327">
        <f t="shared" si="1"/>
        <v>0</v>
      </c>
    </row>
    <row r="42" spans="1:5" ht="39" thickBot="1" x14ac:dyDescent="0.3">
      <c r="A42" s="230" t="s">
        <v>215</v>
      </c>
      <c r="B42" s="231" t="s">
        <v>216</v>
      </c>
      <c r="C42" s="272">
        <v>0</v>
      </c>
      <c r="D42" s="293"/>
      <c r="E42" s="334">
        <f t="shared" si="1"/>
        <v>0</v>
      </c>
    </row>
    <row r="43" spans="1:5" ht="18.75" x14ac:dyDescent="0.25">
      <c r="A43" s="245"/>
      <c r="B43" s="246" t="s">
        <v>217</v>
      </c>
      <c r="C43" s="289">
        <v>49443611.359999999</v>
      </c>
      <c r="D43" s="289">
        <f>+D30+D10</f>
        <v>0</v>
      </c>
      <c r="E43" s="351">
        <f t="shared" si="1"/>
        <v>49443611.359999999</v>
      </c>
    </row>
    <row r="44" spans="1:5" ht="14.25" customHeight="1" x14ac:dyDescent="0.25"/>
  </sheetData>
  <mergeCells count="5">
    <mergeCell ref="A6:E8"/>
    <mergeCell ref="B1:E1"/>
    <mergeCell ref="B2:E2"/>
    <mergeCell ref="C3:E3"/>
    <mergeCell ref="C4:E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E69"/>
  <sheetViews>
    <sheetView topLeftCell="A4" workbookViewId="0">
      <selection sqref="A1:E23"/>
    </sheetView>
  </sheetViews>
  <sheetFormatPr defaultRowHeight="12.75" x14ac:dyDescent="0.2"/>
  <cols>
    <col min="1" max="1" width="23.28515625" style="85" customWidth="1"/>
    <col min="2" max="2" width="39.42578125" style="85" customWidth="1"/>
    <col min="3" max="3" width="12" style="85" customWidth="1"/>
    <col min="4" max="4" width="10.5703125" style="85" customWidth="1"/>
    <col min="5" max="5" width="11.85546875" style="85" customWidth="1"/>
    <col min="6" max="256" width="9.140625" style="85"/>
    <col min="257" max="257" width="20.85546875" style="85" customWidth="1"/>
    <col min="258" max="258" width="48.5703125" style="85" customWidth="1"/>
    <col min="259" max="259" width="10.28515625" style="85" customWidth="1"/>
    <col min="260" max="260" width="10.5703125" style="85" customWidth="1"/>
    <col min="261" max="261" width="9.42578125" style="85" customWidth="1"/>
    <col min="262" max="512" width="9.140625" style="85"/>
    <col min="513" max="513" width="20.85546875" style="85" customWidth="1"/>
    <col min="514" max="514" width="48.5703125" style="85" customWidth="1"/>
    <col min="515" max="515" width="10.28515625" style="85" customWidth="1"/>
    <col min="516" max="516" width="10.5703125" style="85" customWidth="1"/>
    <col min="517" max="517" width="9.42578125" style="85" customWidth="1"/>
    <col min="518" max="768" width="9.140625" style="85"/>
    <col min="769" max="769" width="20.85546875" style="85" customWidth="1"/>
    <col min="770" max="770" width="48.5703125" style="85" customWidth="1"/>
    <col min="771" max="771" width="10.28515625" style="85" customWidth="1"/>
    <col min="772" max="772" width="10.5703125" style="85" customWidth="1"/>
    <col min="773" max="773" width="9.42578125" style="85" customWidth="1"/>
    <col min="774" max="1024" width="9.140625" style="85"/>
    <col min="1025" max="1025" width="20.85546875" style="85" customWidth="1"/>
    <col min="1026" max="1026" width="48.5703125" style="85" customWidth="1"/>
    <col min="1027" max="1027" width="10.28515625" style="85" customWidth="1"/>
    <col min="1028" max="1028" width="10.5703125" style="85" customWidth="1"/>
    <col min="1029" max="1029" width="9.42578125" style="85" customWidth="1"/>
    <col min="1030" max="1280" width="9.140625" style="85"/>
    <col min="1281" max="1281" width="20.85546875" style="85" customWidth="1"/>
    <col min="1282" max="1282" width="48.5703125" style="85" customWidth="1"/>
    <col min="1283" max="1283" width="10.28515625" style="85" customWidth="1"/>
    <col min="1284" max="1284" width="10.5703125" style="85" customWidth="1"/>
    <col min="1285" max="1285" width="9.42578125" style="85" customWidth="1"/>
    <col min="1286" max="1536" width="9.140625" style="85"/>
    <col min="1537" max="1537" width="20.85546875" style="85" customWidth="1"/>
    <col min="1538" max="1538" width="48.5703125" style="85" customWidth="1"/>
    <col min="1539" max="1539" width="10.28515625" style="85" customWidth="1"/>
    <col min="1540" max="1540" width="10.5703125" style="85" customWidth="1"/>
    <col min="1541" max="1541" width="9.42578125" style="85" customWidth="1"/>
    <col min="1542" max="1792" width="9.140625" style="85"/>
    <col min="1793" max="1793" width="20.85546875" style="85" customWidth="1"/>
    <col min="1794" max="1794" width="48.5703125" style="85" customWidth="1"/>
    <col min="1795" max="1795" width="10.28515625" style="85" customWidth="1"/>
    <col min="1796" max="1796" width="10.5703125" style="85" customWidth="1"/>
    <col min="1797" max="1797" width="9.42578125" style="85" customWidth="1"/>
    <col min="1798" max="2048" width="9.140625" style="85"/>
    <col min="2049" max="2049" width="20.85546875" style="85" customWidth="1"/>
    <col min="2050" max="2050" width="48.5703125" style="85" customWidth="1"/>
    <col min="2051" max="2051" width="10.28515625" style="85" customWidth="1"/>
    <col min="2052" max="2052" width="10.5703125" style="85" customWidth="1"/>
    <col min="2053" max="2053" width="9.42578125" style="85" customWidth="1"/>
    <col min="2054" max="2304" width="9.140625" style="85"/>
    <col min="2305" max="2305" width="20.85546875" style="85" customWidth="1"/>
    <col min="2306" max="2306" width="48.5703125" style="85" customWidth="1"/>
    <col min="2307" max="2307" width="10.28515625" style="85" customWidth="1"/>
    <col min="2308" max="2308" width="10.5703125" style="85" customWidth="1"/>
    <col min="2309" max="2309" width="9.42578125" style="85" customWidth="1"/>
    <col min="2310" max="2560" width="9.140625" style="85"/>
    <col min="2561" max="2561" width="20.85546875" style="85" customWidth="1"/>
    <col min="2562" max="2562" width="48.5703125" style="85" customWidth="1"/>
    <col min="2563" max="2563" width="10.28515625" style="85" customWidth="1"/>
    <col min="2564" max="2564" width="10.5703125" style="85" customWidth="1"/>
    <col min="2565" max="2565" width="9.42578125" style="85" customWidth="1"/>
    <col min="2566" max="2816" width="9.140625" style="85"/>
    <col min="2817" max="2817" width="20.85546875" style="85" customWidth="1"/>
    <col min="2818" max="2818" width="48.5703125" style="85" customWidth="1"/>
    <col min="2819" max="2819" width="10.28515625" style="85" customWidth="1"/>
    <col min="2820" max="2820" width="10.5703125" style="85" customWidth="1"/>
    <col min="2821" max="2821" width="9.42578125" style="85" customWidth="1"/>
    <col min="2822" max="3072" width="9.140625" style="85"/>
    <col min="3073" max="3073" width="20.85546875" style="85" customWidth="1"/>
    <col min="3074" max="3074" width="48.5703125" style="85" customWidth="1"/>
    <col min="3075" max="3075" width="10.28515625" style="85" customWidth="1"/>
    <col min="3076" max="3076" width="10.5703125" style="85" customWidth="1"/>
    <col min="3077" max="3077" width="9.42578125" style="85" customWidth="1"/>
    <col min="3078" max="3328" width="9.140625" style="85"/>
    <col min="3329" max="3329" width="20.85546875" style="85" customWidth="1"/>
    <col min="3330" max="3330" width="48.5703125" style="85" customWidth="1"/>
    <col min="3331" max="3331" width="10.28515625" style="85" customWidth="1"/>
    <col min="3332" max="3332" width="10.5703125" style="85" customWidth="1"/>
    <col min="3333" max="3333" width="9.42578125" style="85" customWidth="1"/>
    <col min="3334" max="3584" width="9.140625" style="85"/>
    <col min="3585" max="3585" width="20.85546875" style="85" customWidth="1"/>
    <col min="3586" max="3586" width="48.5703125" style="85" customWidth="1"/>
    <col min="3587" max="3587" width="10.28515625" style="85" customWidth="1"/>
    <col min="3588" max="3588" width="10.5703125" style="85" customWidth="1"/>
    <col min="3589" max="3589" width="9.42578125" style="85" customWidth="1"/>
    <col min="3590" max="3840" width="9.140625" style="85"/>
    <col min="3841" max="3841" width="20.85546875" style="85" customWidth="1"/>
    <col min="3842" max="3842" width="48.5703125" style="85" customWidth="1"/>
    <col min="3843" max="3843" width="10.28515625" style="85" customWidth="1"/>
    <col min="3844" max="3844" width="10.5703125" style="85" customWidth="1"/>
    <col min="3845" max="3845" width="9.42578125" style="85" customWidth="1"/>
    <col min="3846" max="4096" width="9.140625" style="85"/>
    <col min="4097" max="4097" width="20.85546875" style="85" customWidth="1"/>
    <col min="4098" max="4098" width="48.5703125" style="85" customWidth="1"/>
    <col min="4099" max="4099" width="10.28515625" style="85" customWidth="1"/>
    <col min="4100" max="4100" width="10.5703125" style="85" customWidth="1"/>
    <col min="4101" max="4101" width="9.42578125" style="85" customWidth="1"/>
    <col min="4102" max="4352" width="9.140625" style="85"/>
    <col min="4353" max="4353" width="20.85546875" style="85" customWidth="1"/>
    <col min="4354" max="4354" width="48.5703125" style="85" customWidth="1"/>
    <col min="4355" max="4355" width="10.28515625" style="85" customWidth="1"/>
    <col min="4356" max="4356" width="10.5703125" style="85" customWidth="1"/>
    <col min="4357" max="4357" width="9.42578125" style="85" customWidth="1"/>
    <col min="4358" max="4608" width="9.140625" style="85"/>
    <col min="4609" max="4609" width="20.85546875" style="85" customWidth="1"/>
    <col min="4610" max="4610" width="48.5703125" style="85" customWidth="1"/>
    <col min="4611" max="4611" width="10.28515625" style="85" customWidth="1"/>
    <col min="4612" max="4612" width="10.5703125" style="85" customWidth="1"/>
    <col min="4613" max="4613" width="9.42578125" style="85" customWidth="1"/>
    <col min="4614" max="4864" width="9.140625" style="85"/>
    <col min="4865" max="4865" width="20.85546875" style="85" customWidth="1"/>
    <col min="4866" max="4866" width="48.5703125" style="85" customWidth="1"/>
    <col min="4867" max="4867" width="10.28515625" style="85" customWidth="1"/>
    <col min="4868" max="4868" width="10.5703125" style="85" customWidth="1"/>
    <col min="4869" max="4869" width="9.42578125" style="85" customWidth="1"/>
    <col min="4870" max="5120" width="9.140625" style="85"/>
    <col min="5121" max="5121" width="20.85546875" style="85" customWidth="1"/>
    <col min="5122" max="5122" width="48.5703125" style="85" customWidth="1"/>
    <col min="5123" max="5123" width="10.28515625" style="85" customWidth="1"/>
    <col min="5124" max="5124" width="10.5703125" style="85" customWidth="1"/>
    <col min="5125" max="5125" width="9.42578125" style="85" customWidth="1"/>
    <col min="5126" max="5376" width="9.140625" style="85"/>
    <col min="5377" max="5377" width="20.85546875" style="85" customWidth="1"/>
    <col min="5378" max="5378" width="48.5703125" style="85" customWidth="1"/>
    <col min="5379" max="5379" width="10.28515625" style="85" customWidth="1"/>
    <col min="5380" max="5380" width="10.5703125" style="85" customWidth="1"/>
    <col min="5381" max="5381" width="9.42578125" style="85" customWidth="1"/>
    <col min="5382" max="5632" width="9.140625" style="85"/>
    <col min="5633" max="5633" width="20.85546875" style="85" customWidth="1"/>
    <col min="5634" max="5634" width="48.5703125" style="85" customWidth="1"/>
    <col min="5635" max="5635" width="10.28515625" style="85" customWidth="1"/>
    <col min="5636" max="5636" width="10.5703125" style="85" customWidth="1"/>
    <col min="5637" max="5637" width="9.42578125" style="85" customWidth="1"/>
    <col min="5638" max="5888" width="9.140625" style="85"/>
    <col min="5889" max="5889" width="20.85546875" style="85" customWidth="1"/>
    <col min="5890" max="5890" width="48.5703125" style="85" customWidth="1"/>
    <col min="5891" max="5891" width="10.28515625" style="85" customWidth="1"/>
    <col min="5892" max="5892" width="10.5703125" style="85" customWidth="1"/>
    <col min="5893" max="5893" width="9.42578125" style="85" customWidth="1"/>
    <col min="5894" max="6144" width="9.140625" style="85"/>
    <col min="6145" max="6145" width="20.85546875" style="85" customWidth="1"/>
    <col min="6146" max="6146" width="48.5703125" style="85" customWidth="1"/>
    <col min="6147" max="6147" width="10.28515625" style="85" customWidth="1"/>
    <col min="6148" max="6148" width="10.5703125" style="85" customWidth="1"/>
    <col min="6149" max="6149" width="9.42578125" style="85" customWidth="1"/>
    <col min="6150" max="6400" width="9.140625" style="85"/>
    <col min="6401" max="6401" width="20.85546875" style="85" customWidth="1"/>
    <col min="6402" max="6402" width="48.5703125" style="85" customWidth="1"/>
    <col min="6403" max="6403" width="10.28515625" style="85" customWidth="1"/>
    <col min="6404" max="6404" width="10.5703125" style="85" customWidth="1"/>
    <col min="6405" max="6405" width="9.42578125" style="85" customWidth="1"/>
    <col min="6406" max="6656" width="9.140625" style="85"/>
    <col min="6657" max="6657" width="20.85546875" style="85" customWidth="1"/>
    <col min="6658" max="6658" width="48.5703125" style="85" customWidth="1"/>
    <col min="6659" max="6659" width="10.28515625" style="85" customWidth="1"/>
    <col min="6660" max="6660" width="10.5703125" style="85" customWidth="1"/>
    <col min="6661" max="6661" width="9.42578125" style="85" customWidth="1"/>
    <col min="6662" max="6912" width="9.140625" style="85"/>
    <col min="6913" max="6913" width="20.85546875" style="85" customWidth="1"/>
    <col min="6914" max="6914" width="48.5703125" style="85" customWidth="1"/>
    <col min="6915" max="6915" width="10.28515625" style="85" customWidth="1"/>
    <col min="6916" max="6916" width="10.5703125" style="85" customWidth="1"/>
    <col min="6917" max="6917" width="9.42578125" style="85" customWidth="1"/>
    <col min="6918" max="7168" width="9.140625" style="85"/>
    <col min="7169" max="7169" width="20.85546875" style="85" customWidth="1"/>
    <col min="7170" max="7170" width="48.5703125" style="85" customWidth="1"/>
    <col min="7171" max="7171" width="10.28515625" style="85" customWidth="1"/>
    <col min="7172" max="7172" width="10.5703125" style="85" customWidth="1"/>
    <col min="7173" max="7173" width="9.42578125" style="85" customWidth="1"/>
    <col min="7174" max="7424" width="9.140625" style="85"/>
    <col min="7425" max="7425" width="20.85546875" style="85" customWidth="1"/>
    <col min="7426" max="7426" width="48.5703125" style="85" customWidth="1"/>
    <col min="7427" max="7427" width="10.28515625" style="85" customWidth="1"/>
    <col min="7428" max="7428" width="10.5703125" style="85" customWidth="1"/>
    <col min="7429" max="7429" width="9.42578125" style="85" customWidth="1"/>
    <col min="7430" max="7680" width="9.140625" style="85"/>
    <col min="7681" max="7681" width="20.85546875" style="85" customWidth="1"/>
    <col min="7682" max="7682" width="48.5703125" style="85" customWidth="1"/>
    <col min="7683" max="7683" width="10.28515625" style="85" customWidth="1"/>
    <col min="7684" max="7684" width="10.5703125" style="85" customWidth="1"/>
    <col min="7685" max="7685" width="9.42578125" style="85" customWidth="1"/>
    <col min="7686" max="7936" width="9.140625" style="85"/>
    <col min="7937" max="7937" width="20.85546875" style="85" customWidth="1"/>
    <col min="7938" max="7938" width="48.5703125" style="85" customWidth="1"/>
    <col min="7939" max="7939" width="10.28515625" style="85" customWidth="1"/>
    <col min="7940" max="7940" width="10.5703125" style="85" customWidth="1"/>
    <col min="7941" max="7941" width="9.42578125" style="85" customWidth="1"/>
    <col min="7942" max="8192" width="9.140625" style="85"/>
    <col min="8193" max="8193" width="20.85546875" style="85" customWidth="1"/>
    <col min="8194" max="8194" width="48.5703125" style="85" customWidth="1"/>
    <col min="8195" max="8195" width="10.28515625" style="85" customWidth="1"/>
    <col min="8196" max="8196" width="10.5703125" style="85" customWidth="1"/>
    <col min="8197" max="8197" width="9.42578125" style="85" customWidth="1"/>
    <col min="8198" max="8448" width="9.140625" style="85"/>
    <col min="8449" max="8449" width="20.85546875" style="85" customWidth="1"/>
    <col min="8450" max="8450" width="48.5703125" style="85" customWidth="1"/>
    <col min="8451" max="8451" width="10.28515625" style="85" customWidth="1"/>
    <col min="8452" max="8452" width="10.5703125" style="85" customWidth="1"/>
    <col min="8453" max="8453" width="9.42578125" style="85" customWidth="1"/>
    <col min="8454" max="8704" width="9.140625" style="85"/>
    <col min="8705" max="8705" width="20.85546875" style="85" customWidth="1"/>
    <col min="8706" max="8706" width="48.5703125" style="85" customWidth="1"/>
    <col min="8707" max="8707" width="10.28515625" style="85" customWidth="1"/>
    <col min="8708" max="8708" width="10.5703125" style="85" customWidth="1"/>
    <col min="8709" max="8709" width="9.42578125" style="85" customWidth="1"/>
    <col min="8710" max="8960" width="9.140625" style="85"/>
    <col min="8961" max="8961" width="20.85546875" style="85" customWidth="1"/>
    <col min="8962" max="8962" width="48.5703125" style="85" customWidth="1"/>
    <col min="8963" max="8963" width="10.28515625" style="85" customWidth="1"/>
    <col min="8964" max="8964" width="10.5703125" style="85" customWidth="1"/>
    <col min="8965" max="8965" width="9.42578125" style="85" customWidth="1"/>
    <col min="8966" max="9216" width="9.140625" style="85"/>
    <col min="9217" max="9217" width="20.85546875" style="85" customWidth="1"/>
    <col min="9218" max="9218" width="48.5703125" style="85" customWidth="1"/>
    <col min="9219" max="9219" width="10.28515625" style="85" customWidth="1"/>
    <col min="9220" max="9220" width="10.5703125" style="85" customWidth="1"/>
    <col min="9221" max="9221" width="9.42578125" style="85" customWidth="1"/>
    <col min="9222" max="9472" width="9.140625" style="85"/>
    <col min="9473" max="9473" width="20.85546875" style="85" customWidth="1"/>
    <col min="9474" max="9474" width="48.5703125" style="85" customWidth="1"/>
    <col min="9475" max="9475" width="10.28515625" style="85" customWidth="1"/>
    <col min="9476" max="9476" width="10.5703125" style="85" customWidth="1"/>
    <col min="9477" max="9477" width="9.42578125" style="85" customWidth="1"/>
    <col min="9478" max="9728" width="9.140625" style="85"/>
    <col min="9729" max="9729" width="20.85546875" style="85" customWidth="1"/>
    <col min="9730" max="9730" width="48.5703125" style="85" customWidth="1"/>
    <col min="9731" max="9731" width="10.28515625" style="85" customWidth="1"/>
    <col min="9732" max="9732" width="10.5703125" style="85" customWidth="1"/>
    <col min="9733" max="9733" width="9.42578125" style="85" customWidth="1"/>
    <col min="9734" max="9984" width="9.140625" style="85"/>
    <col min="9985" max="9985" width="20.85546875" style="85" customWidth="1"/>
    <col min="9986" max="9986" width="48.5703125" style="85" customWidth="1"/>
    <col min="9987" max="9987" width="10.28515625" style="85" customWidth="1"/>
    <col min="9988" max="9988" width="10.5703125" style="85" customWidth="1"/>
    <col min="9989" max="9989" width="9.42578125" style="85" customWidth="1"/>
    <col min="9990" max="10240" width="9.140625" style="85"/>
    <col min="10241" max="10241" width="20.85546875" style="85" customWidth="1"/>
    <col min="10242" max="10242" width="48.5703125" style="85" customWidth="1"/>
    <col min="10243" max="10243" width="10.28515625" style="85" customWidth="1"/>
    <col min="10244" max="10244" width="10.5703125" style="85" customWidth="1"/>
    <col min="10245" max="10245" width="9.42578125" style="85" customWidth="1"/>
    <col min="10246" max="10496" width="9.140625" style="85"/>
    <col min="10497" max="10497" width="20.85546875" style="85" customWidth="1"/>
    <col min="10498" max="10498" width="48.5703125" style="85" customWidth="1"/>
    <col min="10499" max="10499" width="10.28515625" style="85" customWidth="1"/>
    <col min="10500" max="10500" width="10.5703125" style="85" customWidth="1"/>
    <col min="10501" max="10501" width="9.42578125" style="85" customWidth="1"/>
    <col min="10502" max="10752" width="9.140625" style="85"/>
    <col min="10753" max="10753" width="20.85546875" style="85" customWidth="1"/>
    <col min="10754" max="10754" width="48.5703125" style="85" customWidth="1"/>
    <col min="10755" max="10755" width="10.28515625" style="85" customWidth="1"/>
    <col min="10756" max="10756" width="10.5703125" style="85" customWidth="1"/>
    <col min="10757" max="10757" width="9.42578125" style="85" customWidth="1"/>
    <col min="10758" max="11008" width="9.140625" style="85"/>
    <col min="11009" max="11009" width="20.85546875" style="85" customWidth="1"/>
    <col min="11010" max="11010" width="48.5703125" style="85" customWidth="1"/>
    <col min="11011" max="11011" width="10.28515625" style="85" customWidth="1"/>
    <col min="11012" max="11012" width="10.5703125" style="85" customWidth="1"/>
    <col min="11013" max="11013" width="9.42578125" style="85" customWidth="1"/>
    <col min="11014" max="11264" width="9.140625" style="85"/>
    <col min="11265" max="11265" width="20.85546875" style="85" customWidth="1"/>
    <col min="11266" max="11266" width="48.5703125" style="85" customWidth="1"/>
    <col min="11267" max="11267" width="10.28515625" style="85" customWidth="1"/>
    <col min="11268" max="11268" width="10.5703125" style="85" customWidth="1"/>
    <col min="11269" max="11269" width="9.42578125" style="85" customWidth="1"/>
    <col min="11270" max="11520" width="9.140625" style="85"/>
    <col min="11521" max="11521" width="20.85546875" style="85" customWidth="1"/>
    <col min="11522" max="11522" width="48.5703125" style="85" customWidth="1"/>
    <col min="11523" max="11523" width="10.28515625" style="85" customWidth="1"/>
    <col min="11524" max="11524" width="10.5703125" style="85" customWidth="1"/>
    <col min="11525" max="11525" width="9.42578125" style="85" customWidth="1"/>
    <col min="11526" max="11776" width="9.140625" style="85"/>
    <col min="11777" max="11777" width="20.85546875" style="85" customWidth="1"/>
    <col min="11778" max="11778" width="48.5703125" style="85" customWidth="1"/>
    <col min="11779" max="11779" width="10.28515625" style="85" customWidth="1"/>
    <col min="11780" max="11780" width="10.5703125" style="85" customWidth="1"/>
    <col min="11781" max="11781" width="9.42578125" style="85" customWidth="1"/>
    <col min="11782" max="12032" width="9.140625" style="85"/>
    <col min="12033" max="12033" width="20.85546875" style="85" customWidth="1"/>
    <col min="12034" max="12034" width="48.5703125" style="85" customWidth="1"/>
    <col min="12035" max="12035" width="10.28515625" style="85" customWidth="1"/>
    <col min="12036" max="12036" width="10.5703125" style="85" customWidth="1"/>
    <col min="12037" max="12037" width="9.42578125" style="85" customWidth="1"/>
    <col min="12038" max="12288" width="9.140625" style="85"/>
    <col min="12289" max="12289" width="20.85546875" style="85" customWidth="1"/>
    <col min="12290" max="12290" width="48.5703125" style="85" customWidth="1"/>
    <col min="12291" max="12291" width="10.28515625" style="85" customWidth="1"/>
    <col min="12292" max="12292" width="10.5703125" style="85" customWidth="1"/>
    <col min="12293" max="12293" width="9.42578125" style="85" customWidth="1"/>
    <col min="12294" max="12544" width="9.140625" style="85"/>
    <col min="12545" max="12545" width="20.85546875" style="85" customWidth="1"/>
    <col min="12546" max="12546" width="48.5703125" style="85" customWidth="1"/>
    <col min="12547" max="12547" width="10.28515625" style="85" customWidth="1"/>
    <col min="12548" max="12548" width="10.5703125" style="85" customWidth="1"/>
    <col min="12549" max="12549" width="9.42578125" style="85" customWidth="1"/>
    <col min="12550" max="12800" width="9.140625" style="85"/>
    <col min="12801" max="12801" width="20.85546875" style="85" customWidth="1"/>
    <col min="12802" max="12802" width="48.5703125" style="85" customWidth="1"/>
    <col min="12803" max="12803" width="10.28515625" style="85" customWidth="1"/>
    <col min="12804" max="12804" width="10.5703125" style="85" customWidth="1"/>
    <col min="12805" max="12805" width="9.42578125" style="85" customWidth="1"/>
    <col min="12806" max="13056" width="9.140625" style="85"/>
    <col min="13057" max="13057" width="20.85546875" style="85" customWidth="1"/>
    <col min="13058" max="13058" width="48.5703125" style="85" customWidth="1"/>
    <col min="13059" max="13059" width="10.28515625" style="85" customWidth="1"/>
    <col min="13060" max="13060" width="10.5703125" style="85" customWidth="1"/>
    <col min="13061" max="13061" width="9.42578125" style="85" customWidth="1"/>
    <col min="13062" max="13312" width="9.140625" style="85"/>
    <col min="13313" max="13313" width="20.85546875" style="85" customWidth="1"/>
    <col min="13314" max="13314" width="48.5703125" style="85" customWidth="1"/>
    <col min="13315" max="13315" width="10.28515625" style="85" customWidth="1"/>
    <col min="13316" max="13316" width="10.5703125" style="85" customWidth="1"/>
    <col min="13317" max="13317" width="9.42578125" style="85" customWidth="1"/>
    <col min="13318" max="13568" width="9.140625" style="85"/>
    <col min="13569" max="13569" width="20.85546875" style="85" customWidth="1"/>
    <col min="13570" max="13570" width="48.5703125" style="85" customWidth="1"/>
    <col min="13571" max="13571" width="10.28515625" style="85" customWidth="1"/>
    <col min="13572" max="13572" width="10.5703125" style="85" customWidth="1"/>
    <col min="13573" max="13573" width="9.42578125" style="85" customWidth="1"/>
    <col min="13574" max="13824" width="9.140625" style="85"/>
    <col min="13825" max="13825" width="20.85546875" style="85" customWidth="1"/>
    <col min="13826" max="13826" width="48.5703125" style="85" customWidth="1"/>
    <col min="13827" max="13827" width="10.28515625" style="85" customWidth="1"/>
    <col min="13828" max="13828" width="10.5703125" style="85" customWidth="1"/>
    <col min="13829" max="13829" width="9.42578125" style="85" customWidth="1"/>
    <col min="13830" max="14080" width="9.140625" style="85"/>
    <col min="14081" max="14081" width="20.85546875" style="85" customWidth="1"/>
    <col min="14082" max="14082" width="48.5703125" style="85" customWidth="1"/>
    <col min="14083" max="14083" width="10.28515625" style="85" customWidth="1"/>
    <col min="14084" max="14084" width="10.5703125" style="85" customWidth="1"/>
    <col min="14085" max="14085" width="9.42578125" style="85" customWidth="1"/>
    <col min="14086" max="14336" width="9.140625" style="85"/>
    <col min="14337" max="14337" width="20.85546875" style="85" customWidth="1"/>
    <col min="14338" max="14338" width="48.5703125" style="85" customWidth="1"/>
    <col min="14339" max="14339" width="10.28515625" style="85" customWidth="1"/>
    <col min="14340" max="14340" width="10.5703125" style="85" customWidth="1"/>
    <col min="14341" max="14341" width="9.42578125" style="85" customWidth="1"/>
    <col min="14342" max="14592" width="9.140625" style="85"/>
    <col min="14593" max="14593" width="20.85546875" style="85" customWidth="1"/>
    <col min="14594" max="14594" width="48.5703125" style="85" customWidth="1"/>
    <col min="14595" max="14595" width="10.28515625" style="85" customWidth="1"/>
    <col min="14596" max="14596" width="10.5703125" style="85" customWidth="1"/>
    <col min="14597" max="14597" width="9.42578125" style="85" customWidth="1"/>
    <col min="14598" max="14848" width="9.140625" style="85"/>
    <col min="14849" max="14849" width="20.85546875" style="85" customWidth="1"/>
    <col min="14850" max="14850" width="48.5703125" style="85" customWidth="1"/>
    <col min="14851" max="14851" width="10.28515625" style="85" customWidth="1"/>
    <col min="14852" max="14852" width="10.5703125" style="85" customWidth="1"/>
    <col min="14853" max="14853" width="9.42578125" style="85" customWidth="1"/>
    <col min="14854" max="15104" width="9.140625" style="85"/>
    <col min="15105" max="15105" width="20.85546875" style="85" customWidth="1"/>
    <col min="15106" max="15106" width="48.5703125" style="85" customWidth="1"/>
    <col min="15107" max="15107" width="10.28515625" style="85" customWidth="1"/>
    <col min="15108" max="15108" width="10.5703125" style="85" customWidth="1"/>
    <col min="15109" max="15109" width="9.42578125" style="85" customWidth="1"/>
    <col min="15110" max="15360" width="9.140625" style="85"/>
    <col min="15361" max="15361" width="20.85546875" style="85" customWidth="1"/>
    <col min="15362" max="15362" width="48.5703125" style="85" customWidth="1"/>
    <col min="15363" max="15363" width="10.28515625" style="85" customWidth="1"/>
    <col min="15364" max="15364" width="10.5703125" style="85" customWidth="1"/>
    <col min="15365" max="15365" width="9.42578125" style="85" customWidth="1"/>
    <col min="15366" max="15616" width="9.140625" style="85"/>
    <col min="15617" max="15617" width="20.85546875" style="85" customWidth="1"/>
    <col min="15618" max="15618" width="48.5703125" style="85" customWidth="1"/>
    <col min="15619" max="15619" width="10.28515625" style="85" customWidth="1"/>
    <col min="15620" max="15620" width="10.5703125" style="85" customWidth="1"/>
    <col min="15621" max="15621" width="9.42578125" style="85" customWidth="1"/>
    <col min="15622" max="15872" width="9.140625" style="85"/>
    <col min="15873" max="15873" width="20.85546875" style="85" customWidth="1"/>
    <col min="15874" max="15874" width="48.5703125" style="85" customWidth="1"/>
    <col min="15875" max="15875" width="10.28515625" style="85" customWidth="1"/>
    <col min="15876" max="15876" width="10.5703125" style="85" customWidth="1"/>
    <col min="15877" max="15877" width="9.42578125" style="85" customWidth="1"/>
    <col min="15878" max="16128" width="9.140625" style="85"/>
    <col min="16129" max="16129" width="20.85546875" style="85" customWidth="1"/>
    <col min="16130" max="16130" width="48.5703125" style="85" customWidth="1"/>
    <col min="16131" max="16131" width="10.28515625" style="85" customWidth="1"/>
    <col min="16132" max="16132" width="10.5703125" style="85" customWidth="1"/>
    <col min="16133" max="16133" width="9.42578125" style="85" customWidth="1"/>
    <col min="16134" max="16384" width="9.140625" style="85"/>
  </cols>
  <sheetData>
    <row r="1" spans="1:5" ht="14.25" x14ac:dyDescent="0.2">
      <c r="C1" s="520" t="s">
        <v>259</v>
      </c>
      <c r="D1" s="520"/>
      <c r="E1" s="520"/>
    </row>
    <row r="2" spans="1:5" ht="15" x14ac:dyDescent="0.2">
      <c r="C2" s="519" t="s">
        <v>220</v>
      </c>
      <c r="D2" s="519"/>
      <c r="E2" s="519"/>
    </row>
    <row r="3" spans="1:5" ht="15" x14ac:dyDescent="0.2">
      <c r="C3" s="521" t="s">
        <v>221</v>
      </c>
      <c r="D3" s="521"/>
      <c r="E3" s="521"/>
    </row>
    <row r="4" spans="1:5" ht="15" x14ac:dyDescent="0.2">
      <c r="C4" s="519" t="s">
        <v>523</v>
      </c>
      <c r="D4" s="519"/>
      <c r="E4" s="519"/>
    </row>
    <row r="7" spans="1:5" ht="15.75" x14ac:dyDescent="0.2">
      <c r="A7" s="523" t="s">
        <v>260</v>
      </c>
      <c r="B7" s="523"/>
      <c r="C7" s="523"/>
      <c r="D7" s="524"/>
      <c r="E7" s="524"/>
    </row>
    <row r="8" spans="1:5" x14ac:dyDescent="0.2">
      <c r="A8" s="525" t="s">
        <v>347</v>
      </c>
      <c r="B8" s="524"/>
      <c r="C8" s="524"/>
      <c r="D8" s="524"/>
      <c r="E8" s="524"/>
    </row>
    <row r="9" spans="1:5" x14ac:dyDescent="0.2">
      <c r="A9" s="526"/>
      <c r="B9" s="526"/>
      <c r="C9" s="526"/>
      <c r="D9" s="526"/>
      <c r="E9" s="526"/>
    </row>
    <row r="10" spans="1:5" ht="14.25" x14ac:dyDescent="0.2">
      <c r="A10" s="527" t="s">
        <v>278</v>
      </c>
      <c r="B10" s="522" t="s">
        <v>261</v>
      </c>
      <c r="C10" s="86" t="s">
        <v>262</v>
      </c>
      <c r="D10" s="86" t="s">
        <v>262</v>
      </c>
      <c r="E10" s="86" t="s">
        <v>262</v>
      </c>
    </row>
    <row r="11" spans="1:5" ht="42.75" x14ac:dyDescent="0.2">
      <c r="A11" s="528"/>
      <c r="B11" s="522"/>
      <c r="C11" s="87" t="s">
        <v>275</v>
      </c>
      <c r="D11" s="87" t="s">
        <v>276</v>
      </c>
      <c r="E11" s="87" t="s">
        <v>277</v>
      </c>
    </row>
    <row r="12" spans="1:5" s="88" customFormat="1" ht="12.75" customHeight="1" thickBot="1" x14ac:dyDescent="0.25">
      <c r="A12" s="387">
        <v>1</v>
      </c>
      <c r="B12" s="387">
        <v>2</v>
      </c>
      <c r="C12" s="387">
        <v>3</v>
      </c>
      <c r="D12" s="387">
        <v>4</v>
      </c>
      <c r="E12" s="387">
        <v>5</v>
      </c>
    </row>
    <row r="13" spans="1:5" ht="44.25" customHeight="1" x14ac:dyDescent="0.2">
      <c r="A13" s="388" t="s">
        <v>269</v>
      </c>
      <c r="B13" s="389" t="s">
        <v>263</v>
      </c>
      <c r="C13" s="390">
        <f>C14</f>
        <v>16171.5</v>
      </c>
      <c r="D13" s="390">
        <f>D14</f>
        <v>16805</v>
      </c>
      <c r="E13" s="391">
        <f>E14</f>
        <v>17461.8</v>
      </c>
    </row>
    <row r="14" spans="1:5" ht="39" customHeight="1" thickBot="1" x14ac:dyDescent="0.25">
      <c r="A14" s="392" t="s">
        <v>269</v>
      </c>
      <c r="B14" s="393" t="s">
        <v>264</v>
      </c>
      <c r="C14" s="394">
        <f>'приложение 2 на 2021 '!E32</f>
        <v>16171.5</v>
      </c>
      <c r="D14" s="394">
        <f>'ПРИЛОЖЕНИЕ 2 на 2022'!E32</f>
        <v>16805</v>
      </c>
      <c r="E14" s="395">
        <f>'ПРИЛОЖЕНИЕ 2 на 2023 год'!E32</f>
        <v>17461.8</v>
      </c>
    </row>
    <row r="15" spans="1:5" ht="39" customHeight="1" x14ac:dyDescent="0.2">
      <c r="A15" s="370" t="s">
        <v>376</v>
      </c>
      <c r="B15" s="371" t="s">
        <v>377</v>
      </c>
      <c r="C15" s="372">
        <f>'приложение 2 на 2021 '!E34</f>
        <v>1668.6</v>
      </c>
      <c r="D15" s="372">
        <v>0</v>
      </c>
      <c r="E15" s="373">
        <v>0</v>
      </c>
    </row>
    <row r="16" spans="1:5" ht="75" x14ac:dyDescent="0.2">
      <c r="A16" s="396" t="s">
        <v>270</v>
      </c>
      <c r="B16" s="89" t="s">
        <v>265</v>
      </c>
      <c r="C16" s="90">
        <f>'приложение 2 на 2021 '!E35</f>
        <v>13407.65</v>
      </c>
      <c r="D16" s="90">
        <f>'ПРИЛОЖЕНИЕ 2 на 2022'!E34</f>
        <v>4105.21</v>
      </c>
      <c r="E16" s="397">
        <f>'ПРИЛОЖЕНИЕ 2 на 2023 год'!E34</f>
        <v>0</v>
      </c>
    </row>
    <row r="17" spans="1:5" ht="135" x14ac:dyDescent="0.2">
      <c r="A17" s="398" t="s">
        <v>378</v>
      </c>
      <c r="B17" s="89" t="s">
        <v>379</v>
      </c>
      <c r="C17" s="90">
        <f>'приложение 2 на 2021 '!E36</f>
        <v>9183.9599999999991</v>
      </c>
      <c r="D17" s="90">
        <v>0</v>
      </c>
      <c r="E17" s="397">
        <f>'ПРИЛОЖЕНИЕ 2 на 2023 год'!E35</f>
        <v>2590.346</v>
      </c>
    </row>
    <row r="18" spans="1:5" ht="62.45" customHeight="1" x14ac:dyDescent="0.2">
      <c r="A18" s="396" t="s">
        <v>272</v>
      </c>
      <c r="B18" s="89" t="s">
        <v>266</v>
      </c>
      <c r="C18" s="90">
        <f>'приложение 2 на 2021 '!E37</f>
        <v>9513.3610000000008</v>
      </c>
      <c r="D18" s="90">
        <f>'ПРИЛОЖЕНИЕ 2 на 2022'!E35</f>
        <v>2693.3</v>
      </c>
      <c r="E18" s="397">
        <f>'ПРИЛОЖЕНИЕ 2 на 2023 год'!E36</f>
        <v>621.6</v>
      </c>
    </row>
    <row r="19" spans="1:5" ht="62.45" customHeight="1" thickBot="1" x14ac:dyDescent="0.25">
      <c r="A19" s="392" t="s">
        <v>279</v>
      </c>
      <c r="B19" s="393" t="s">
        <v>207</v>
      </c>
      <c r="C19" s="394">
        <f>'приложение 2 на 2021 '!E38</f>
        <v>0</v>
      </c>
      <c r="D19" s="394">
        <v>1709.22</v>
      </c>
      <c r="E19" s="395">
        <v>0</v>
      </c>
    </row>
    <row r="20" spans="1:5" ht="42.6" customHeight="1" x14ac:dyDescent="0.2">
      <c r="A20" s="370" t="s">
        <v>271</v>
      </c>
      <c r="B20" s="371" t="s">
        <v>267</v>
      </c>
      <c r="C20" s="372">
        <f>'приложение 2 на 2021 '!E40</f>
        <v>3.52</v>
      </c>
      <c r="D20" s="372">
        <f>'ПРИЛОЖЕНИЕ 2 на 2022'!E38</f>
        <v>3.52</v>
      </c>
      <c r="E20" s="373">
        <f>'ПРИЛОЖЕНИЕ 2 на 2023 год'!E39</f>
        <v>3.52</v>
      </c>
    </row>
    <row r="21" spans="1:5" ht="60.75" thickBot="1" x14ac:dyDescent="0.25">
      <c r="A21" s="374" t="s">
        <v>273</v>
      </c>
      <c r="B21" s="375" t="s">
        <v>213</v>
      </c>
      <c r="C21" s="376">
        <f>'приложение 2 на 2021 '!E41</f>
        <v>297.39999999999998</v>
      </c>
      <c r="D21" s="376">
        <f>'ПРИЛОЖЕНИЕ 2 на 2022'!E39</f>
        <v>297.39999999999998</v>
      </c>
      <c r="E21" s="377">
        <f>'ПРИЛОЖЕНИЕ 2 на 2023 год'!E40</f>
        <v>297.39999999999998</v>
      </c>
    </row>
    <row r="22" spans="1:5" ht="45.75" thickBot="1" x14ac:dyDescent="0.25">
      <c r="A22" s="378" t="s">
        <v>274</v>
      </c>
      <c r="B22" s="379" t="s">
        <v>216</v>
      </c>
      <c r="C22" s="380">
        <f>'приложение 2 на 2021 '!E43</f>
        <v>9403.0059999999994</v>
      </c>
      <c r="D22" s="380">
        <f>'ПРИЛОЖЕНИЕ 2 на 2022'!E41</f>
        <v>0</v>
      </c>
      <c r="E22" s="381">
        <f>'ПРИЛОЖЕНИЕ 2 на 2023 год'!E42</f>
        <v>0</v>
      </c>
    </row>
    <row r="23" spans="1:5" ht="15" thickBot="1" x14ac:dyDescent="0.25">
      <c r="A23" s="382"/>
      <c r="B23" s="383" t="s">
        <v>268</v>
      </c>
      <c r="C23" s="384">
        <f>C22+C21+C20+C19+C18+C17+C16+C15+C13</f>
        <v>59648.996999999996</v>
      </c>
      <c r="D23" s="384">
        <f t="shared" ref="D23:E23" si="0">D22+D21+D20+D19+D18+D17+D16+D15+D13</f>
        <v>25613.65</v>
      </c>
      <c r="E23" s="384">
        <f t="shared" si="0"/>
        <v>20974.665999999997</v>
      </c>
    </row>
    <row r="24" spans="1:5" ht="14.25" x14ac:dyDescent="0.2">
      <c r="A24" s="92"/>
      <c r="B24" s="92"/>
      <c r="C24" s="93"/>
      <c r="D24" s="94"/>
      <c r="E24" s="94"/>
    </row>
    <row r="25" spans="1:5" ht="102.75" customHeight="1" x14ac:dyDescent="0.2">
      <c r="A25"/>
      <c r="B25"/>
      <c r="C25"/>
    </row>
    <row r="26" spans="1:5" ht="69" customHeight="1" x14ac:dyDescent="0.2">
      <c r="A26"/>
      <c r="B26"/>
      <c r="C26"/>
    </row>
    <row r="27" spans="1:5" x14ac:dyDescent="0.2">
      <c r="A27"/>
      <c r="B27"/>
      <c r="C27"/>
    </row>
    <row r="28" spans="1:5" x14ac:dyDescent="0.2">
      <c r="A28"/>
      <c r="B28"/>
      <c r="C28"/>
    </row>
    <row r="29" spans="1:5" x14ac:dyDescent="0.2">
      <c r="A29"/>
      <c r="B29"/>
      <c r="C29"/>
    </row>
    <row r="30" spans="1:5" x14ac:dyDescent="0.2">
      <c r="A30"/>
      <c r="B30"/>
      <c r="C30"/>
    </row>
    <row r="31" spans="1:5" ht="85.5" customHeight="1" x14ac:dyDescent="0.2">
      <c r="A31"/>
      <c r="B31"/>
      <c r="C31"/>
    </row>
    <row r="32" spans="1:5" ht="80.25" customHeight="1" x14ac:dyDescent="0.2">
      <c r="A32"/>
      <c r="B32"/>
      <c r="C32"/>
    </row>
    <row r="33" spans="1:3" ht="102.75" customHeight="1" x14ac:dyDescent="0.2">
      <c r="A33"/>
      <c r="B33"/>
      <c r="C33"/>
    </row>
    <row r="34" spans="1:3" x14ac:dyDescent="0.2">
      <c r="A34"/>
      <c r="B34"/>
      <c r="C34"/>
    </row>
    <row r="35" spans="1:3" x14ac:dyDescent="0.2">
      <c r="A35"/>
      <c r="B35"/>
      <c r="C35"/>
    </row>
    <row r="36" spans="1:3" x14ac:dyDescent="0.2">
      <c r="A36"/>
      <c r="B36"/>
      <c r="C36"/>
    </row>
    <row r="37" spans="1:3" x14ac:dyDescent="0.2">
      <c r="A37"/>
      <c r="B37"/>
      <c r="C37"/>
    </row>
    <row r="38" spans="1:3" ht="66" customHeight="1" x14ac:dyDescent="0.2">
      <c r="A38"/>
      <c r="B38"/>
      <c r="C38"/>
    </row>
    <row r="39" spans="1:3" ht="81" customHeight="1" x14ac:dyDescent="0.2">
      <c r="A39"/>
      <c r="B39"/>
      <c r="C39"/>
    </row>
    <row r="40" spans="1:3" ht="68.25" customHeight="1" x14ac:dyDescent="0.2">
      <c r="A40"/>
      <c r="B40"/>
      <c r="C40"/>
    </row>
    <row r="41" spans="1:3" ht="94.5" customHeight="1" x14ac:dyDescent="0.2">
      <c r="A41"/>
      <c r="B41"/>
      <c r="C41"/>
    </row>
    <row r="42" spans="1:3" x14ac:dyDescent="0.2">
      <c r="A42"/>
      <c r="B42"/>
      <c r="C42"/>
    </row>
    <row r="43" spans="1:3" x14ac:dyDescent="0.2">
      <c r="A43"/>
      <c r="B43"/>
      <c r="C43"/>
    </row>
    <row r="44" spans="1:3" x14ac:dyDescent="0.2">
      <c r="A44"/>
      <c r="B44"/>
      <c r="C44"/>
    </row>
    <row r="45" spans="1:3" ht="65.25" customHeight="1" x14ac:dyDescent="0.2">
      <c r="A45"/>
      <c r="B45"/>
      <c r="C45"/>
    </row>
    <row r="46" spans="1:3" ht="81" customHeight="1" x14ac:dyDescent="0.2">
      <c r="A46"/>
      <c r="B46"/>
      <c r="C46"/>
    </row>
    <row r="47" spans="1:3" ht="60.75" customHeight="1" x14ac:dyDescent="0.2">
      <c r="A47"/>
      <c r="B47"/>
      <c r="C47"/>
    </row>
    <row r="48" spans="1:3" ht="63.75" customHeight="1" x14ac:dyDescent="0.2">
      <c r="A48"/>
      <c r="B48"/>
      <c r="C48"/>
    </row>
    <row r="49" spans="1:3" ht="52.5" customHeight="1" x14ac:dyDescent="0.2">
      <c r="A49"/>
      <c r="B49"/>
      <c r="C49"/>
    </row>
    <row r="50" spans="1:3" ht="65.25" customHeight="1" x14ac:dyDescent="0.2">
      <c r="A50"/>
      <c r="B50"/>
      <c r="C50"/>
    </row>
    <row r="51" spans="1:3" ht="97.5" customHeight="1" x14ac:dyDescent="0.2">
      <c r="A51"/>
      <c r="B51"/>
      <c r="C51"/>
    </row>
    <row r="52" spans="1:3" ht="78.75" customHeight="1" x14ac:dyDescent="0.2">
      <c r="A52"/>
      <c r="B52"/>
      <c r="C52"/>
    </row>
    <row r="53" spans="1:3" ht="48" customHeight="1" x14ac:dyDescent="0.2">
      <c r="A53"/>
      <c r="B53"/>
      <c r="C53"/>
    </row>
    <row r="54" spans="1:3" ht="84" customHeight="1" x14ac:dyDescent="0.2">
      <c r="A54"/>
      <c r="B54"/>
      <c r="C54"/>
    </row>
    <row r="55" spans="1:3" ht="65.25" customHeight="1" x14ac:dyDescent="0.2">
      <c r="A55"/>
      <c r="B55"/>
      <c r="C55"/>
    </row>
    <row r="56" spans="1:3" x14ac:dyDescent="0.2">
      <c r="A56"/>
      <c r="B56"/>
      <c r="C56"/>
    </row>
    <row r="57" spans="1:3" x14ac:dyDescent="0.2">
      <c r="A57"/>
      <c r="B57"/>
      <c r="C57"/>
    </row>
    <row r="58" spans="1:3" x14ac:dyDescent="0.2">
      <c r="A58"/>
      <c r="B58"/>
      <c r="C58"/>
    </row>
    <row r="59" spans="1:3" x14ac:dyDescent="0.2">
      <c r="A59"/>
      <c r="B59"/>
      <c r="C59"/>
    </row>
    <row r="60" spans="1:3" x14ac:dyDescent="0.2">
      <c r="A60"/>
      <c r="B60"/>
      <c r="C60"/>
    </row>
    <row r="61" spans="1:3" x14ac:dyDescent="0.2">
      <c r="A61"/>
      <c r="B61"/>
      <c r="C61"/>
    </row>
    <row r="62" spans="1:3" ht="21" customHeight="1" x14ac:dyDescent="0.2">
      <c r="A62"/>
      <c r="B62"/>
      <c r="C62"/>
    </row>
    <row r="63" spans="1:3" ht="51" customHeight="1" x14ac:dyDescent="0.2">
      <c r="A63"/>
      <c r="B63"/>
      <c r="C63"/>
    </row>
    <row r="64" spans="1:3" x14ac:dyDescent="0.2">
      <c r="A64"/>
      <c r="B64"/>
      <c r="C64"/>
    </row>
    <row r="65" spans="1:3" x14ac:dyDescent="0.2">
      <c r="A65"/>
      <c r="B65"/>
      <c r="C65"/>
    </row>
    <row r="66" spans="1:3" ht="24.75" customHeight="1" x14ac:dyDescent="0.2">
      <c r="A66"/>
      <c r="B66"/>
      <c r="C66"/>
    </row>
    <row r="67" spans="1:3" x14ac:dyDescent="0.2">
      <c r="A67"/>
      <c r="B67"/>
      <c r="C67"/>
    </row>
    <row r="68" spans="1:3" ht="22.5" customHeight="1" x14ac:dyDescent="0.2">
      <c r="A68"/>
      <c r="B68"/>
      <c r="C68"/>
    </row>
    <row r="69" spans="1:3" x14ac:dyDescent="0.2">
      <c r="A69"/>
      <c r="B69"/>
      <c r="C69"/>
    </row>
  </sheetData>
  <mergeCells count="8">
    <mergeCell ref="C1:E1"/>
    <mergeCell ref="C2:E2"/>
    <mergeCell ref="C3:E3"/>
    <mergeCell ref="C4:E4"/>
    <mergeCell ref="B10:B11"/>
    <mergeCell ref="A7:E7"/>
    <mergeCell ref="A8:E9"/>
    <mergeCell ref="A10:A11"/>
  </mergeCells>
  <pageMargins left="0.70866141732283472" right="0" top="0.78740157480314965" bottom="0.78740157480314965" header="0.31496062992125984" footer="0.31496062992125984"/>
  <pageSetup paperSize="9" scale="91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56"/>
  <sheetViews>
    <sheetView workbookViewId="0">
      <selection sqref="A1:F39"/>
    </sheetView>
  </sheetViews>
  <sheetFormatPr defaultRowHeight="12.75" x14ac:dyDescent="0.2"/>
  <cols>
    <col min="1" max="1" width="36.140625" customWidth="1"/>
    <col min="2" max="2" width="9.140625" style="98" customWidth="1"/>
    <col min="3" max="3" width="7.140625" style="98" customWidth="1"/>
    <col min="4" max="4" width="12.7109375" style="98" customWidth="1"/>
    <col min="5" max="5" width="14.42578125" customWidth="1"/>
    <col min="6" max="6" width="15" customWidth="1"/>
    <col min="240" max="240" width="57.5703125" customWidth="1"/>
    <col min="241" max="241" width="10.28515625" customWidth="1"/>
    <col min="242" max="253" width="0" hidden="1" customWidth="1"/>
    <col min="254" max="254" width="9.85546875" customWidth="1"/>
    <col min="255" max="255" width="14.42578125" customWidth="1"/>
    <col min="256" max="260" width="0" hidden="1" customWidth="1"/>
    <col min="261" max="261" width="14.42578125" customWidth="1"/>
    <col min="262" max="262" width="15" customWidth="1"/>
    <col min="496" max="496" width="57.5703125" customWidth="1"/>
    <col min="497" max="497" width="10.28515625" customWidth="1"/>
    <col min="498" max="509" width="0" hidden="1" customWidth="1"/>
    <col min="510" max="510" width="9.85546875" customWidth="1"/>
    <col min="511" max="511" width="14.42578125" customWidth="1"/>
    <col min="512" max="516" width="0" hidden="1" customWidth="1"/>
    <col min="517" max="517" width="14.42578125" customWidth="1"/>
    <col min="518" max="518" width="15" customWidth="1"/>
    <col min="752" max="752" width="57.5703125" customWidth="1"/>
    <col min="753" max="753" width="10.28515625" customWidth="1"/>
    <col min="754" max="765" width="0" hidden="1" customWidth="1"/>
    <col min="766" max="766" width="9.85546875" customWidth="1"/>
    <col min="767" max="767" width="14.42578125" customWidth="1"/>
    <col min="768" max="772" width="0" hidden="1" customWidth="1"/>
    <col min="773" max="773" width="14.42578125" customWidth="1"/>
    <col min="774" max="774" width="15" customWidth="1"/>
    <col min="1008" max="1008" width="57.5703125" customWidth="1"/>
    <col min="1009" max="1009" width="10.28515625" customWidth="1"/>
    <col min="1010" max="1021" width="0" hidden="1" customWidth="1"/>
    <col min="1022" max="1022" width="9.85546875" customWidth="1"/>
    <col min="1023" max="1023" width="14.42578125" customWidth="1"/>
    <col min="1024" max="1028" width="0" hidden="1" customWidth="1"/>
    <col min="1029" max="1029" width="14.42578125" customWidth="1"/>
    <col min="1030" max="1030" width="15" customWidth="1"/>
    <col min="1264" max="1264" width="57.5703125" customWidth="1"/>
    <col min="1265" max="1265" width="10.28515625" customWidth="1"/>
    <col min="1266" max="1277" width="0" hidden="1" customWidth="1"/>
    <col min="1278" max="1278" width="9.85546875" customWidth="1"/>
    <col min="1279" max="1279" width="14.42578125" customWidth="1"/>
    <col min="1280" max="1284" width="0" hidden="1" customWidth="1"/>
    <col min="1285" max="1285" width="14.42578125" customWidth="1"/>
    <col min="1286" max="1286" width="15" customWidth="1"/>
    <col min="1520" max="1520" width="57.5703125" customWidth="1"/>
    <col min="1521" max="1521" width="10.28515625" customWidth="1"/>
    <col min="1522" max="1533" width="0" hidden="1" customWidth="1"/>
    <col min="1534" max="1534" width="9.85546875" customWidth="1"/>
    <col min="1535" max="1535" width="14.42578125" customWidth="1"/>
    <col min="1536" max="1540" width="0" hidden="1" customWidth="1"/>
    <col min="1541" max="1541" width="14.42578125" customWidth="1"/>
    <col min="1542" max="1542" width="15" customWidth="1"/>
    <col min="1776" max="1776" width="57.5703125" customWidth="1"/>
    <col min="1777" max="1777" width="10.28515625" customWidth="1"/>
    <col min="1778" max="1789" width="0" hidden="1" customWidth="1"/>
    <col min="1790" max="1790" width="9.85546875" customWidth="1"/>
    <col min="1791" max="1791" width="14.42578125" customWidth="1"/>
    <col min="1792" max="1796" width="0" hidden="1" customWidth="1"/>
    <col min="1797" max="1797" width="14.42578125" customWidth="1"/>
    <col min="1798" max="1798" width="15" customWidth="1"/>
    <col min="2032" max="2032" width="57.5703125" customWidth="1"/>
    <col min="2033" max="2033" width="10.28515625" customWidth="1"/>
    <col min="2034" max="2045" width="0" hidden="1" customWidth="1"/>
    <col min="2046" max="2046" width="9.85546875" customWidth="1"/>
    <col min="2047" max="2047" width="14.42578125" customWidth="1"/>
    <col min="2048" max="2052" width="0" hidden="1" customWidth="1"/>
    <col min="2053" max="2053" width="14.42578125" customWidth="1"/>
    <col min="2054" max="2054" width="15" customWidth="1"/>
    <col min="2288" max="2288" width="57.5703125" customWidth="1"/>
    <col min="2289" max="2289" width="10.28515625" customWidth="1"/>
    <col min="2290" max="2301" width="0" hidden="1" customWidth="1"/>
    <col min="2302" max="2302" width="9.85546875" customWidth="1"/>
    <col min="2303" max="2303" width="14.42578125" customWidth="1"/>
    <col min="2304" max="2308" width="0" hidden="1" customWidth="1"/>
    <col min="2309" max="2309" width="14.42578125" customWidth="1"/>
    <col min="2310" max="2310" width="15" customWidth="1"/>
    <col min="2544" max="2544" width="57.5703125" customWidth="1"/>
    <col min="2545" max="2545" width="10.28515625" customWidth="1"/>
    <col min="2546" max="2557" width="0" hidden="1" customWidth="1"/>
    <col min="2558" max="2558" width="9.85546875" customWidth="1"/>
    <col min="2559" max="2559" width="14.42578125" customWidth="1"/>
    <col min="2560" max="2564" width="0" hidden="1" customWidth="1"/>
    <col min="2565" max="2565" width="14.42578125" customWidth="1"/>
    <col min="2566" max="2566" width="15" customWidth="1"/>
    <col min="2800" max="2800" width="57.5703125" customWidth="1"/>
    <col min="2801" max="2801" width="10.28515625" customWidth="1"/>
    <col min="2802" max="2813" width="0" hidden="1" customWidth="1"/>
    <col min="2814" max="2814" width="9.85546875" customWidth="1"/>
    <col min="2815" max="2815" width="14.42578125" customWidth="1"/>
    <col min="2816" max="2820" width="0" hidden="1" customWidth="1"/>
    <col min="2821" max="2821" width="14.42578125" customWidth="1"/>
    <col min="2822" max="2822" width="15" customWidth="1"/>
    <col min="3056" max="3056" width="57.5703125" customWidth="1"/>
    <col min="3057" max="3057" width="10.28515625" customWidth="1"/>
    <col min="3058" max="3069" width="0" hidden="1" customWidth="1"/>
    <col min="3070" max="3070" width="9.85546875" customWidth="1"/>
    <col min="3071" max="3071" width="14.42578125" customWidth="1"/>
    <col min="3072" max="3076" width="0" hidden="1" customWidth="1"/>
    <col min="3077" max="3077" width="14.42578125" customWidth="1"/>
    <col min="3078" max="3078" width="15" customWidth="1"/>
    <col min="3312" max="3312" width="57.5703125" customWidth="1"/>
    <col min="3313" max="3313" width="10.28515625" customWidth="1"/>
    <col min="3314" max="3325" width="0" hidden="1" customWidth="1"/>
    <col min="3326" max="3326" width="9.85546875" customWidth="1"/>
    <col min="3327" max="3327" width="14.42578125" customWidth="1"/>
    <col min="3328" max="3332" width="0" hidden="1" customWidth="1"/>
    <col min="3333" max="3333" width="14.42578125" customWidth="1"/>
    <col min="3334" max="3334" width="15" customWidth="1"/>
    <col min="3568" max="3568" width="57.5703125" customWidth="1"/>
    <col min="3569" max="3569" width="10.28515625" customWidth="1"/>
    <col min="3570" max="3581" width="0" hidden="1" customWidth="1"/>
    <col min="3582" max="3582" width="9.85546875" customWidth="1"/>
    <col min="3583" max="3583" width="14.42578125" customWidth="1"/>
    <col min="3584" max="3588" width="0" hidden="1" customWidth="1"/>
    <col min="3589" max="3589" width="14.42578125" customWidth="1"/>
    <col min="3590" max="3590" width="15" customWidth="1"/>
    <col min="3824" max="3824" width="57.5703125" customWidth="1"/>
    <col min="3825" max="3825" width="10.28515625" customWidth="1"/>
    <col min="3826" max="3837" width="0" hidden="1" customWidth="1"/>
    <col min="3838" max="3838" width="9.85546875" customWidth="1"/>
    <col min="3839" max="3839" width="14.42578125" customWidth="1"/>
    <col min="3840" max="3844" width="0" hidden="1" customWidth="1"/>
    <col min="3845" max="3845" width="14.42578125" customWidth="1"/>
    <col min="3846" max="3846" width="15" customWidth="1"/>
    <col min="4080" max="4080" width="57.5703125" customWidth="1"/>
    <col min="4081" max="4081" width="10.28515625" customWidth="1"/>
    <col min="4082" max="4093" width="0" hidden="1" customWidth="1"/>
    <col min="4094" max="4094" width="9.85546875" customWidth="1"/>
    <col min="4095" max="4095" width="14.42578125" customWidth="1"/>
    <col min="4096" max="4100" width="0" hidden="1" customWidth="1"/>
    <col min="4101" max="4101" width="14.42578125" customWidth="1"/>
    <col min="4102" max="4102" width="15" customWidth="1"/>
    <col min="4336" max="4336" width="57.5703125" customWidth="1"/>
    <col min="4337" max="4337" width="10.28515625" customWidth="1"/>
    <col min="4338" max="4349" width="0" hidden="1" customWidth="1"/>
    <col min="4350" max="4350" width="9.85546875" customWidth="1"/>
    <col min="4351" max="4351" width="14.42578125" customWidth="1"/>
    <col min="4352" max="4356" width="0" hidden="1" customWidth="1"/>
    <col min="4357" max="4357" width="14.42578125" customWidth="1"/>
    <col min="4358" max="4358" width="15" customWidth="1"/>
    <col min="4592" max="4592" width="57.5703125" customWidth="1"/>
    <col min="4593" max="4593" width="10.28515625" customWidth="1"/>
    <col min="4594" max="4605" width="0" hidden="1" customWidth="1"/>
    <col min="4606" max="4606" width="9.85546875" customWidth="1"/>
    <col min="4607" max="4607" width="14.42578125" customWidth="1"/>
    <col min="4608" max="4612" width="0" hidden="1" customWidth="1"/>
    <col min="4613" max="4613" width="14.42578125" customWidth="1"/>
    <col min="4614" max="4614" width="15" customWidth="1"/>
    <col min="4848" max="4848" width="57.5703125" customWidth="1"/>
    <col min="4849" max="4849" width="10.28515625" customWidth="1"/>
    <col min="4850" max="4861" width="0" hidden="1" customWidth="1"/>
    <col min="4862" max="4862" width="9.85546875" customWidth="1"/>
    <col min="4863" max="4863" width="14.42578125" customWidth="1"/>
    <col min="4864" max="4868" width="0" hidden="1" customWidth="1"/>
    <col min="4869" max="4869" width="14.42578125" customWidth="1"/>
    <col min="4870" max="4870" width="15" customWidth="1"/>
    <col min="5104" max="5104" width="57.5703125" customWidth="1"/>
    <col min="5105" max="5105" width="10.28515625" customWidth="1"/>
    <col min="5106" max="5117" width="0" hidden="1" customWidth="1"/>
    <col min="5118" max="5118" width="9.85546875" customWidth="1"/>
    <col min="5119" max="5119" width="14.42578125" customWidth="1"/>
    <col min="5120" max="5124" width="0" hidden="1" customWidth="1"/>
    <col min="5125" max="5125" width="14.42578125" customWidth="1"/>
    <col min="5126" max="5126" width="15" customWidth="1"/>
    <col min="5360" max="5360" width="57.5703125" customWidth="1"/>
    <col min="5361" max="5361" width="10.28515625" customWidth="1"/>
    <col min="5362" max="5373" width="0" hidden="1" customWidth="1"/>
    <col min="5374" max="5374" width="9.85546875" customWidth="1"/>
    <col min="5375" max="5375" width="14.42578125" customWidth="1"/>
    <col min="5376" max="5380" width="0" hidden="1" customWidth="1"/>
    <col min="5381" max="5381" width="14.42578125" customWidth="1"/>
    <col min="5382" max="5382" width="15" customWidth="1"/>
    <col min="5616" max="5616" width="57.5703125" customWidth="1"/>
    <col min="5617" max="5617" width="10.28515625" customWidth="1"/>
    <col min="5618" max="5629" width="0" hidden="1" customWidth="1"/>
    <col min="5630" max="5630" width="9.85546875" customWidth="1"/>
    <col min="5631" max="5631" width="14.42578125" customWidth="1"/>
    <col min="5632" max="5636" width="0" hidden="1" customWidth="1"/>
    <col min="5637" max="5637" width="14.42578125" customWidth="1"/>
    <col min="5638" max="5638" width="15" customWidth="1"/>
    <col min="5872" max="5872" width="57.5703125" customWidth="1"/>
    <col min="5873" max="5873" width="10.28515625" customWidth="1"/>
    <col min="5874" max="5885" width="0" hidden="1" customWidth="1"/>
    <col min="5886" max="5886" width="9.85546875" customWidth="1"/>
    <col min="5887" max="5887" width="14.42578125" customWidth="1"/>
    <col min="5888" max="5892" width="0" hidden="1" customWidth="1"/>
    <col min="5893" max="5893" width="14.42578125" customWidth="1"/>
    <col min="5894" max="5894" width="15" customWidth="1"/>
    <col min="6128" max="6128" width="57.5703125" customWidth="1"/>
    <col min="6129" max="6129" width="10.28515625" customWidth="1"/>
    <col min="6130" max="6141" width="0" hidden="1" customWidth="1"/>
    <col min="6142" max="6142" width="9.85546875" customWidth="1"/>
    <col min="6143" max="6143" width="14.42578125" customWidth="1"/>
    <col min="6144" max="6148" width="0" hidden="1" customWidth="1"/>
    <col min="6149" max="6149" width="14.42578125" customWidth="1"/>
    <col min="6150" max="6150" width="15" customWidth="1"/>
    <col min="6384" max="6384" width="57.5703125" customWidth="1"/>
    <col min="6385" max="6385" width="10.28515625" customWidth="1"/>
    <col min="6386" max="6397" width="0" hidden="1" customWidth="1"/>
    <col min="6398" max="6398" width="9.85546875" customWidth="1"/>
    <col min="6399" max="6399" width="14.42578125" customWidth="1"/>
    <col min="6400" max="6404" width="0" hidden="1" customWidth="1"/>
    <col min="6405" max="6405" width="14.42578125" customWidth="1"/>
    <col min="6406" max="6406" width="15" customWidth="1"/>
    <col min="6640" max="6640" width="57.5703125" customWidth="1"/>
    <col min="6641" max="6641" width="10.28515625" customWidth="1"/>
    <col min="6642" max="6653" width="0" hidden="1" customWidth="1"/>
    <col min="6654" max="6654" width="9.85546875" customWidth="1"/>
    <col min="6655" max="6655" width="14.42578125" customWidth="1"/>
    <col min="6656" max="6660" width="0" hidden="1" customWidth="1"/>
    <col min="6661" max="6661" width="14.42578125" customWidth="1"/>
    <col min="6662" max="6662" width="15" customWidth="1"/>
    <col min="6896" max="6896" width="57.5703125" customWidth="1"/>
    <col min="6897" max="6897" width="10.28515625" customWidth="1"/>
    <col min="6898" max="6909" width="0" hidden="1" customWidth="1"/>
    <col min="6910" max="6910" width="9.85546875" customWidth="1"/>
    <col min="6911" max="6911" width="14.42578125" customWidth="1"/>
    <col min="6912" max="6916" width="0" hidden="1" customWidth="1"/>
    <col min="6917" max="6917" width="14.42578125" customWidth="1"/>
    <col min="6918" max="6918" width="15" customWidth="1"/>
    <col min="7152" max="7152" width="57.5703125" customWidth="1"/>
    <col min="7153" max="7153" width="10.28515625" customWidth="1"/>
    <col min="7154" max="7165" width="0" hidden="1" customWidth="1"/>
    <col min="7166" max="7166" width="9.85546875" customWidth="1"/>
    <col min="7167" max="7167" width="14.42578125" customWidth="1"/>
    <col min="7168" max="7172" width="0" hidden="1" customWidth="1"/>
    <col min="7173" max="7173" width="14.42578125" customWidth="1"/>
    <col min="7174" max="7174" width="15" customWidth="1"/>
    <col min="7408" max="7408" width="57.5703125" customWidth="1"/>
    <col min="7409" max="7409" width="10.28515625" customWidth="1"/>
    <col min="7410" max="7421" width="0" hidden="1" customWidth="1"/>
    <col min="7422" max="7422" width="9.85546875" customWidth="1"/>
    <col min="7423" max="7423" width="14.42578125" customWidth="1"/>
    <col min="7424" max="7428" width="0" hidden="1" customWidth="1"/>
    <col min="7429" max="7429" width="14.42578125" customWidth="1"/>
    <col min="7430" max="7430" width="15" customWidth="1"/>
    <col min="7664" max="7664" width="57.5703125" customWidth="1"/>
    <col min="7665" max="7665" width="10.28515625" customWidth="1"/>
    <col min="7666" max="7677" width="0" hidden="1" customWidth="1"/>
    <col min="7678" max="7678" width="9.85546875" customWidth="1"/>
    <col min="7679" max="7679" width="14.42578125" customWidth="1"/>
    <col min="7680" max="7684" width="0" hidden="1" customWidth="1"/>
    <col min="7685" max="7685" width="14.42578125" customWidth="1"/>
    <col min="7686" max="7686" width="15" customWidth="1"/>
    <col min="7920" max="7920" width="57.5703125" customWidth="1"/>
    <col min="7921" max="7921" width="10.28515625" customWidth="1"/>
    <col min="7922" max="7933" width="0" hidden="1" customWidth="1"/>
    <col min="7934" max="7934" width="9.85546875" customWidth="1"/>
    <col min="7935" max="7935" width="14.42578125" customWidth="1"/>
    <col min="7936" max="7940" width="0" hidden="1" customWidth="1"/>
    <col min="7941" max="7941" width="14.42578125" customWidth="1"/>
    <col min="7942" max="7942" width="15" customWidth="1"/>
    <col min="8176" max="8176" width="57.5703125" customWidth="1"/>
    <col min="8177" max="8177" width="10.28515625" customWidth="1"/>
    <col min="8178" max="8189" width="0" hidden="1" customWidth="1"/>
    <col min="8190" max="8190" width="9.85546875" customWidth="1"/>
    <col min="8191" max="8191" width="14.42578125" customWidth="1"/>
    <col min="8192" max="8196" width="0" hidden="1" customWidth="1"/>
    <col min="8197" max="8197" width="14.42578125" customWidth="1"/>
    <col min="8198" max="8198" width="15" customWidth="1"/>
    <col min="8432" max="8432" width="57.5703125" customWidth="1"/>
    <col min="8433" max="8433" width="10.28515625" customWidth="1"/>
    <col min="8434" max="8445" width="0" hidden="1" customWidth="1"/>
    <col min="8446" max="8446" width="9.85546875" customWidth="1"/>
    <col min="8447" max="8447" width="14.42578125" customWidth="1"/>
    <col min="8448" max="8452" width="0" hidden="1" customWidth="1"/>
    <col min="8453" max="8453" width="14.42578125" customWidth="1"/>
    <col min="8454" max="8454" width="15" customWidth="1"/>
    <col min="8688" max="8688" width="57.5703125" customWidth="1"/>
    <col min="8689" max="8689" width="10.28515625" customWidth="1"/>
    <col min="8690" max="8701" width="0" hidden="1" customWidth="1"/>
    <col min="8702" max="8702" width="9.85546875" customWidth="1"/>
    <col min="8703" max="8703" width="14.42578125" customWidth="1"/>
    <col min="8704" max="8708" width="0" hidden="1" customWidth="1"/>
    <col min="8709" max="8709" width="14.42578125" customWidth="1"/>
    <col min="8710" max="8710" width="15" customWidth="1"/>
    <col min="8944" max="8944" width="57.5703125" customWidth="1"/>
    <col min="8945" max="8945" width="10.28515625" customWidth="1"/>
    <col min="8946" max="8957" width="0" hidden="1" customWidth="1"/>
    <col min="8958" max="8958" width="9.85546875" customWidth="1"/>
    <col min="8959" max="8959" width="14.42578125" customWidth="1"/>
    <col min="8960" max="8964" width="0" hidden="1" customWidth="1"/>
    <col min="8965" max="8965" width="14.42578125" customWidth="1"/>
    <col min="8966" max="8966" width="15" customWidth="1"/>
    <col min="9200" max="9200" width="57.5703125" customWidth="1"/>
    <col min="9201" max="9201" width="10.28515625" customWidth="1"/>
    <col min="9202" max="9213" width="0" hidden="1" customWidth="1"/>
    <col min="9214" max="9214" width="9.85546875" customWidth="1"/>
    <col min="9215" max="9215" width="14.42578125" customWidth="1"/>
    <col min="9216" max="9220" width="0" hidden="1" customWidth="1"/>
    <col min="9221" max="9221" width="14.42578125" customWidth="1"/>
    <col min="9222" max="9222" width="15" customWidth="1"/>
    <col min="9456" max="9456" width="57.5703125" customWidth="1"/>
    <col min="9457" max="9457" width="10.28515625" customWidth="1"/>
    <col min="9458" max="9469" width="0" hidden="1" customWidth="1"/>
    <col min="9470" max="9470" width="9.85546875" customWidth="1"/>
    <col min="9471" max="9471" width="14.42578125" customWidth="1"/>
    <col min="9472" max="9476" width="0" hidden="1" customWidth="1"/>
    <col min="9477" max="9477" width="14.42578125" customWidth="1"/>
    <col min="9478" max="9478" width="15" customWidth="1"/>
    <col min="9712" max="9712" width="57.5703125" customWidth="1"/>
    <col min="9713" max="9713" width="10.28515625" customWidth="1"/>
    <col min="9714" max="9725" width="0" hidden="1" customWidth="1"/>
    <col min="9726" max="9726" width="9.85546875" customWidth="1"/>
    <col min="9727" max="9727" width="14.42578125" customWidth="1"/>
    <col min="9728" max="9732" width="0" hidden="1" customWidth="1"/>
    <col min="9733" max="9733" width="14.42578125" customWidth="1"/>
    <col min="9734" max="9734" width="15" customWidth="1"/>
    <col min="9968" max="9968" width="57.5703125" customWidth="1"/>
    <col min="9969" max="9969" width="10.28515625" customWidth="1"/>
    <col min="9970" max="9981" width="0" hidden="1" customWidth="1"/>
    <col min="9982" max="9982" width="9.85546875" customWidth="1"/>
    <col min="9983" max="9983" width="14.42578125" customWidth="1"/>
    <col min="9984" max="9988" width="0" hidden="1" customWidth="1"/>
    <col min="9989" max="9989" width="14.42578125" customWidth="1"/>
    <col min="9990" max="9990" width="15" customWidth="1"/>
    <col min="10224" max="10224" width="57.5703125" customWidth="1"/>
    <col min="10225" max="10225" width="10.28515625" customWidth="1"/>
    <col min="10226" max="10237" width="0" hidden="1" customWidth="1"/>
    <col min="10238" max="10238" width="9.85546875" customWidth="1"/>
    <col min="10239" max="10239" width="14.42578125" customWidth="1"/>
    <col min="10240" max="10244" width="0" hidden="1" customWidth="1"/>
    <col min="10245" max="10245" width="14.42578125" customWidth="1"/>
    <col min="10246" max="10246" width="15" customWidth="1"/>
    <col min="10480" max="10480" width="57.5703125" customWidth="1"/>
    <col min="10481" max="10481" width="10.28515625" customWidth="1"/>
    <col min="10482" max="10493" width="0" hidden="1" customWidth="1"/>
    <col min="10494" max="10494" width="9.85546875" customWidth="1"/>
    <col min="10495" max="10495" width="14.42578125" customWidth="1"/>
    <col min="10496" max="10500" width="0" hidden="1" customWidth="1"/>
    <col min="10501" max="10501" width="14.42578125" customWidth="1"/>
    <col min="10502" max="10502" width="15" customWidth="1"/>
    <col min="10736" max="10736" width="57.5703125" customWidth="1"/>
    <col min="10737" max="10737" width="10.28515625" customWidth="1"/>
    <col min="10738" max="10749" width="0" hidden="1" customWidth="1"/>
    <col min="10750" max="10750" width="9.85546875" customWidth="1"/>
    <col min="10751" max="10751" width="14.42578125" customWidth="1"/>
    <col min="10752" max="10756" width="0" hidden="1" customWidth="1"/>
    <col min="10757" max="10757" width="14.42578125" customWidth="1"/>
    <col min="10758" max="10758" width="15" customWidth="1"/>
    <col min="10992" max="10992" width="57.5703125" customWidth="1"/>
    <col min="10993" max="10993" width="10.28515625" customWidth="1"/>
    <col min="10994" max="11005" width="0" hidden="1" customWidth="1"/>
    <col min="11006" max="11006" width="9.85546875" customWidth="1"/>
    <col min="11007" max="11007" width="14.42578125" customWidth="1"/>
    <col min="11008" max="11012" width="0" hidden="1" customWidth="1"/>
    <col min="11013" max="11013" width="14.42578125" customWidth="1"/>
    <col min="11014" max="11014" width="15" customWidth="1"/>
    <col min="11248" max="11248" width="57.5703125" customWidth="1"/>
    <col min="11249" max="11249" width="10.28515625" customWidth="1"/>
    <col min="11250" max="11261" width="0" hidden="1" customWidth="1"/>
    <col min="11262" max="11262" width="9.85546875" customWidth="1"/>
    <col min="11263" max="11263" width="14.42578125" customWidth="1"/>
    <col min="11264" max="11268" width="0" hidden="1" customWidth="1"/>
    <col min="11269" max="11269" width="14.42578125" customWidth="1"/>
    <col min="11270" max="11270" width="15" customWidth="1"/>
    <col min="11504" max="11504" width="57.5703125" customWidth="1"/>
    <col min="11505" max="11505" width="10.28515625" customWidth="1"/>
    <col min="11506" max="11517" width="0" hidden="1" customWidth="1"/>
    <col min="11518" max="11518" width="9.85546875" customWidth="1"/>
    <col min="11519" max="11519" width="14.42578125" customWidth="1"/>
    <col min="11520" max="11524" width="0" hidden="1" customWidth="1"/>
    <col min="11525" max="11525" width="14.42578125" customWidth="1"/>
    <col min="11526" max="11526" width="15" customWidth="1"/>
    <col min="11760" max="11760" width="57.5703125" customWidth="1"/>
    <col min="11761" max="11761" width="10.28515625" customWidth="1"/>
    <col min="11762" max="11773" width="0" hidden="1" customWidth="1"/>
    <col min="11774" max="11774" width="9.85546875" customWidth="1"/>
    <col min="11775" max="11775" width="14.42578125" customWidth="1"/>
    <col min="11776" max="11780" width="0" hidden="1" customWidth="1"/>
    <col min="11781" max="11781" width="14.42578125" customWidth="1"/>
    <col min="11782" max="11782" width="15" customWidth="1"/>
    <col min="12016" max="12016" width="57.5703125" customWidth="1"/>
    <col min="12017" max="12017" width="10.28515625" customWidth="1"/>
    <col min="12018" max="12029" width="0" hidden="1" customWidth="1"/>
    <col min="12030" max="12030" width="9.85546875" customWidth="1"/>
    <col min="12031" max="12031" width="14.42578125" customWidth="1"/>
    <col min="12032" max="12036" width="0" hidden="1" customWidth="1"/>
    <col min="12037" max="12037" width="14.42578125" customWidth="1"/>
    <col min="12038" max="12038" width="15" customWidth="1"/>
    <col min="12272" max="12272" width="57.5703125" customWidth="1"/>
    <col min="12273" max="12273" width="10.28515625" customWidth="1"/>
    <col min="12274" max="12285" width="0" hidden="1" customWidth="1"/>
    <col min="12286" max="12286" width="9.85546875" customWidth="1"/>
    <col min="12287" max="12287" width="14.42578125" customWidth="1"/>
    <col min="12288" max="12292" width="0" hidden="1" customWidth="1"/>
    <col min="12293" max="12293" width="14.42578125" customWidth="1"/>
    <col min="12294" max="12294" width="15" customWidth="1"/>
    <col min="12528" max="12528" width="57.5703125" customWidth="1"/>
    <col min="12529" max="12529" width="10.28515625" customWidth="1"/>
    <col min="12530" max="12541" width="0" hidden="1" customWidth="1"/>
    <col min="12542" max="12542" width="9.85546875" customWidth="1"/>
    <col min="12543" max="12543" width="14.42578125" customWidth="1"/>
    <col min="12544" max="12548" width="0" hidden="1" customWidth="1"/>
    <col min="12549" max="12549" width="14.42578125" customWidth="1"/>
    <col min="12550" max="12550" width="15" customWidth="1"/>
    <col min="12784" max="12784" width="57.5703125" customWidth="1"/>
    <col min="12785" max="12785" width="10.28515625" customWidth="1"/>
    <col min="12786" max="12797" width="0" hidden="1" customWidth="1"/>
    <col min="12798" max="12798" width="9.85546875" customWidth="1"/>
    <col min="12799" max="12799" width="14.42578125" customWidth="1"/>
    <col min="12800" max="12804" width="0" hidden="1" customWidth="1"/>
    <col min="12805" max="12805" width="14.42578125" customWidth="1"/>
    <col min="12806" max="12806" width="15" customWidth="1"/>
    <col min="13040" max="13040" width="57.5703125" customWidth="1"/>
    <col min="13041" max="13041" width="10.28515625" customWidth="1"/>
    <col min="13042" max="13053" width="0" hidden="1" customWidth="1"/>
    <col min="13054" max="13054" width="9.85546875" customWidth="1"/>
    <col min="13055" max="13055" width="14.42578125" customWidth="1"/>
    <col min="13056" max="13060" width="0" hidden="1" customWidth="1"/>
    <col min="13061" max="13061" width="14.42578125" customWidth="1"/>
    <col min="13062" max="13062" width="15" customWidth="1"/>
    <col min="13296" max="13296" width="57.5703125" customWidth="1"/>
    <col min="13297" max="13297" width="10.28515625" customWidth="1"/>
    <col min="13298" max="13309" width="0" hidden="1" customWidth="1"/>
    <col min="13310" max="13310" width="9.85546875" customWidth="1"/>
    <col min="13311" max="13311" width="14.42578125" customWidth="1"/>
    <col min="13312" max="13316" width="0" hidden="1" customWidth="1"/>
    <col min="13317" max="13317" width="14.42578125" customWidth="1"/>
    <col min="13318" max="13318" width="15" customWidth="1"/>
    <col min="13552" max="13552" width="57.5703125" customWidth="1"/>
    <col min="13553" max="13553" width="10.28515625" customWidth="1"/>
    <col min="13554" max="13565" width="0" hidden="1" customWidth="1"/>
    <col min="13566" max="13566" width="9.85546875" customWidth="1"/>
    <col min="13567" max="13567" width="14.42578125" customWidth="1"/>
    <col min="13568" max="13572" width="0" hidden="1" customWidth="1"/>
    <col min="13573" max="13573" width="14.42578125" customWidth="1"/>
    <col min="13574" max="13574" width="15" customWidth="1"/>
    <col min="13808" max="13808" width="57.5703125" customWidth="1"/>
    <col min="13809" max="13809" width="10.28515625" customWidth="1"/>
    <col min="13810" max="13821" width="0" hidden="1" customWidth="1"/>
    <col min="13822" max="13822" width="9.85546875" customWidth="1"/>
    <col min="13823" max="13823" width="14.42578125" customWidth="1"/>
    <col min="13824" max="13828" width="0" hidden="1" customWidth="1"/>
    <col min="13829" max="13829" width="14.42578125" customWidth="1"/>
    <col min="13830" max="13830" width="15" customWidth="1"/>
    <col min="14064" max="14064" width="57.5703125" customWidth="1"/>
    <col min="14065" max="14065" width="10.28515625" customWidth="1"/>
    <col min="14066" max="14077" width="0" hidden="1" customWidth="1"/>
    <col min="14078" max="14078" width="9.85546875" customWidth="1"/>
    <col min="14079" max="14079" width="14.42578125" customWidth="1"/>
    <col min="14080" max="14084" width="0" hidden="1" customWidth="1"/>
    <col min="14085" max="14085" width="14.42578125" customWidth="1"/>
    <col min="14086" max="14086" width="15" customWidth="1"/>
    <col min="14320" max="14320" width="57.5703125" customWidth="1"/>
    <col min="14321" max="14321" width="10.28515625" customWidth="1"/>
    <col min="14322" max="14333" width="0" hidden="1" customWidth="1"/>
    <col min="14334" max="14334" width="9.85546875" customWidth="1"/>
    <col min="14335" max="14335" width="14.42578125" customWidth="1"/>
    <col min="14336" max="14340" width="0" hidden="1" customWidth="1"/>
    <col min="14341" max="14341" width="14.42578125" customWidth="1"/>
    <col min="14342" max="14342" width="15" customWidth="1"/>
    <col min="14576" max="14576" width="57.5703125" customWidth="1"/>
    <col min="14577" max="14577" width="10.28515625" customWidth="1"/>
    <col min="14578" max="14589" width="0" hidden="1" customWidth="1"/>
    <col min="14590" max="14590" width="9.85546875" customWidth="1"/>
    <col min="14591" max="14591" width="14.42578125" customWidth="1"/>
    <col min="14592" max="14596" width="0" hidden="1" customWidth="1"/>
    <col min="14597" max="14597" width="14.42578125" customWidth="1"/>
    <col min="14598" max="14598" width="15" customWidth="1"/>
    <col min="14832" max="14832" width="57.5703125" customWidth="1"/>
    <col min="14833" max="14833" width="10.28515625" customWidth="1"/>
    <col min="14834" max="14845" width="0" hidden="1" customWidth="1"/>
    <col min="14846" max="14846" width="9.85546875" customWidth="1"/>
    <col min="14847" max="14847" width="14.42578125" customWidth="1"/>
    <col min="14848" max="14852" width="0" hidden="1" customWidth="1"/>
    <col min="14853" max="14853" width="14.42578125" customWidth="1"/>
    <col min="14854" max="14854" width="15" customWidth="1"/>
    <col min="15088" max="15088" width="57.5703125" customWidth="1"/>
    <col min="15089" max="15089" width="10.28515625" customWidth="1"/>
    <col min="15090" max="15101" width="0" hidden="1" customWidth="1"/>
    <col min="15102" max="15102" width="9.85546875" customWidth="1"/>
    <col min="15103" max="15103" width="14.42578125" customWidth="1"/>
    <col min="15104" max="15108" width="0" hidden="1" customWidth="1"/>
    <col min="15109" max="15109" width="14.42578125" customWidth="1"/>
    <col min="15110" max="15110" width="15" customWidth="1"/>
    <col min="15344" max="15344" width="57.5703125" customWidth="1"/>
    <col min="15345" max="15345" width="10.28515625" customWidth="1"/>
    <col min="15346" max="15357" width="0" hidden="1" customWidth="1"/>
    <col min="15358" max="15358" width="9.85546875" customWidth="1"/>
    <col min="15359" max="15359" width="14.42578125" customWidth="1"/>
    <col min="15360" max="15364" width="0" hidden="1" customWidth="1"/>
    <col min="15365" max="15365" width="14.42578125" customWidth="1"/>
    <col min="15366" max="15366" width="15" customWidth="1"/>
    <col min="15600" max="15600" width="57.5703125" customWidth="1"/>
    <col min="15601" max="15601" width="10.28515625" customWidth="1"/>
    <col min="15602" max="15613" width="0" hidden="1" customWidth="1"/>
    <col min="15614" max="15614" width="9.85546875" customWidth="1"/>
    <col min="15615" max="15615" width="14.42578125" customWidth="1"/>
    <col min="15616" max="15620" width="0" hidden="1" customWidth="1"/>
    <col min="15621" max="15621" width="14.42578125" customWidth="1"/>
    <col min="15622" max="15622" width="15" customWidth="1"/>
    <col min="15856" max="15856" width="57.5703125" customWidth="1"/>
    <col min="15857" max="15857" width="10.28515625" customWidth="1"/>
    <col min="15858" max="15869" width="0" hidden="1" customWidth="1"/>
    <col min="15870" max="15870" width="9.85546875" customWidth="1"/>
    <col min="15871" max="15871" width="14.42578125" customWidth="1"/>
    <col min="15872" max="15876" width="0" hidden="1" customWidth="1"/>
    <col min="15877" max="15877" width="14.42578125" customWidth="1"/>
    <col min="15878" max="15878" width="15" customWidth="1"/>
    <col min="16112" max="16112" width="57.5703125" customWidth="1"/>
    <col min="16113" max="16113" width="10.28515625" customWidth="1"/>
    <col min="16114" max="16125" width="0" hidden="1" customWidth="1"/>
    <col min="16126" max="16126" width="9.85546875" customWidth="1"/>
    <col min="16127" max="16127" width="14.42578125" customWidth="1"/>
    <col min="16128" max="16132" width="0" hidden="1" customWidth="1"/>
    <col min="16133" max="16133" width="14.42578125" customWidth="1"/>
    <col min="16134" max="16134" width="15" customWidth="1"/>
  </cols>
  <sheetData>
    <row r="1" spans="1:6" ht="14.25" x14ac:dyDescent="0.2">
      <c r="B1" s="95" t="s">
        <v>281</v>
      </c>
      <c r="C1" s="95"/>
      <c r="D1" s="95"/>
    </row>
    <row r="2" spans="1:6" ht="15" x14ac:dyDescent="0.25">
      <c r="B2" s="96" t="s">
        <v>282</v>
      </c>
      <c r="C2" s="96"/>
      <c r="D2" s="96"/>
    </row>
    <row r="3" spans="1:6" ht="15" x14ac:dyDescent="0.25">
      <c r="B3" s="96" t="s">
        <v>221</v>
      </c>
      <c r="C3" s="96"/>
      <c r="D3" s="96"/>
    </row>
    <row r="4" spans="1:6" ht="15" x14ac:dyDescent="0.25">
      <c r="B4" s="96" t="s">
        <v>523</v>
      </c>
      <c r="C4" s="96"/>
      <c r="D4" s="96"/>
    </row>
    <row r="5" spans="1:6" ht="67.5" customHeight="1" thickBot="1" x14ac:dyDescent="0.25">
      <c r="A5" s="529" t="s">
        <v>346</v>
      </c>
      <c r="B5" s="529"/>
      <c r="C5" s="529"/>
      <c r="D5" s="529"/>
      <c r="E5" s="529"/>
      <c r="F5" s="529"/>
    </row>
    <row r="6" spans="1:6" ht="15.75" customHeight="1" x14ac:dyDescent="0.2">
      <c r="A6" s="530" t="s">
        <v>11</v>
      </c>
      <c r="B6" s="532" t="s">
        <v>283</v>
      </c>
      <c r="C6" s="532" t="s">
        <v>283</v>
      </c>
      <c r="D6" s="534" t="s">
        <v>284</v>
      </c>
      <c r="E6" s="534" t="s">
        <v>285</v>
      </c>
      <c r="F6" s="534" t="s">
        <v>313</v>
      </c>
    </row>
    <row r="7" spans="1:6" s="186" customFormat="1" ht="16.5" customHeight="1" x14ac:dyDescent="0.2">
      <c r="A7" s="531"/>
      <c r="B7" s="533"/>
      <c r="C7" s="533"/>
      <c r="D7" s="535"/>
      <c r="E7" s="535"/>
      <c r="F7" s="535"/>
    </row>
    <row r="8" spans="1:6" ht="19.5" customHeight="1" x14ac:dyDescent="0.2">
      <c r="A8" s="531"/>
      <c r="B8" s="533"/>
      <c r="C8" s="533"/>
      <c r="D8" s="536"/>
      <c r="E8" s="536"/>
      <c r="F8" s="536"/>
    </row>
    <row r="9" spans="1:6" ht="15.75" customHeight="1" x14ac:dyDescent="0.2">
      <c r="A9" s="100" t="s">
        <v>286</v>
      </c>
      <c r="B9" s="101" t="s">
        <v>14</v>
      </c>
      <c r="C9" s="101"/>
      <c r="D9" s="107">
        <f>SUM(D10:D14)</f>
        <v>24061.780500000001</v>
      </c>
      <c r="E9" s="107">
        <f>E10+E11+E13+E14</f>
        <v>16813.32</v>
      </c>
      <c r="F9" s="107">
        <f>F10+F11+F13+F14</f>
        <v>17044.32</v>
      </c>
    </row>
    <row r="10" spans="1:6" ht="32.25" customHeight="1" x14ac:dyDescent="0.2">
      <c r="A10" s="452" t="s">
        <v>287</v>
      </c>
      <c r="B10" s="451"/>
      <c r="C10" s="451" t="s">
        <v>16</v>
      </c>
      <c r="D10" s="448">
        <f>'Приложение 7'!G15</f>
        <v>0</v>
      </c>
      <c r="E10" s="448">
        <v>200</v>
      </c>
      <c r="F10" s="448">
        <v>300</v>
      </c>
    </row>
    <row r="11" spans="1:6" ht="32.25" customHeight="1" x14ac:dyDescent="0.2">
      <c r="A11" s="452" t="s">
        <v>288</v>
      </c>
      <c r="B11" s="451"/>
      <c r="C11" s="451" t="s">
        <v>20</v>
      </c>
      <c r="D11" s="448">
        <f>'Приложение 7'!G16</f>
        <v>15514.140500000001</v>
      </c>
      <c r="E11" s="448">
        <v>15213.32</v>
      </c>
      <c r="F11" s="448">
        <v>15344.32</v>
      </c>
    </row>
    <row r="12" spans="1:6" ht="20.25" customHeight="1" x14ac:dyDescent="0.2">
      <c r="A12" s="452" t="s">
        <v>102</v>
      </c>
      <c r="B12" s="451"/>
      <c r="C12" s="451" t="s">
        <v>103</v>
      </c>
      <c r="D12" s="448">
        <f>'Приложение 7'!G37</f>
        <v>222.63</v>
      </c>
      <c r="E12" s="448">
        <v>0</v>
      </c>
      <c r="F12" s="448">
        <v>0</v>
      </c>
    </row>
    <row r="13" spans="1:6" ht="30" customHeight="1" x14ac:dyDescent="0.2">
      <c r="A13" s="452" t="s">
        <v>289</v>
      </c>
      <c r="B13" s="451"/>
      <c r="C13" s="451" t="s">
        <v>26</v>
      </c>
      <c r="D13" s="448">
        <f>'Приложение 7'!G42</f>
        <v>0</v>
      </c>
      <c r="E13" s="448">
        <v>1000</v>
      </c>
      <c r="F13" s="448">
        <v>1000</v>
      </c>
    </row>
    <row r="14" spans="1:6" ht="16.5" customHeight="1" x14ac:dyDescent="0.25">
      <c r="A14" s="102" t="s">
        <v>31</v>
      </c>
      <c r="B14" s="103"/>
      <c r="C14" s="103" t="s">
        <v>30</v>
      </c>
      <c r="D14" s="104">
        <f>'Приложение 7'!G43</f>
        <v>8325.01</v>
      </c>
      <c r="E14" s="104">
        <v>400</v>
      </c>
      <c r="F14" s="104">
        <v>400</v>
      </c>
    </row>
    <row r="15" spans="1:6" ht="18.75" customHeight="1" x14ac:dyDescent="0.25">
      <c r="A15" s="100" t="s">
        <v>290</v>
      </c>
      <c r="B15" s="101" t="s">
        <v>234</v>
      </c>
      <c r="C15" s="106"/>
      <c r="D15" s="107">
        <f>+D16</f>
        <v>297.39999999999998</v>
      </c>
      <c r="E15" s="107">
        <f>+E16</f>
        <v>297.39999999999998</v>
      </c>
      <c r="F15" s="107">
        <f>+F16</f>
        <v>297.39999999999998</v>
      </c>
    </row>
    <row r="16" spans="1:6" ht="50.25" customHeight="1" x14ac:dyDescent="0.25">
      <c r="A16" s="102" t="s">
        <v>291</v>
      </c>
      <c r="B16" s="103"/>
      <c r="C16" s="103" t="s">
        <v>72</v>
      </c>
      <c r="D16" s="104">
        <f>'Приложение 7'!G48</f>
        <v>297.39999999999998</v>
      </c>
      <c r="E16" s="104">
        <f>'Приложение 7'!H48</f>
        <v>297.39999999999998</v>
      </c>
      <c r="F16" s="104">
        <f>'Приложение 7'!I48</f>
        <v>297.39999999999998</v>
      </c>
    </row>
    <row r="17" spans="1:6" ht="27" customHeight="1" x14ac:dyDescent="0.2">
      <c r="A17" s="100" t="s">
        <v>292</v>
      </c>
      <c r="B17" s="101" t="s">
        <v>48</v>
      </c>
      <c r="C17" s="101"/>
      <c r="D17" s="107">
        <f>D18+D19</f>
        <v>8.6</v>
      </c>
      <c r="E17" s="107">
        <f t="shared" ref="E17:F17" si="0">E18+E19</f>
        <v>270</v>
      </c>
      <c r="F17" s="107">
        <f t="shared" si="0"/>
        <v>270</v>
      </c>
    </row>
    <row r="18" spans="1:6" ht="45" customHeight="1" x14ac:dyDescent="0.25">
      <c r="A18" s="108" t="s">
        <v>293</v>
      </c>
      <c r="B18" s="109"/>
      <c r="C18" s="103" t="s">
        <v>32</v>
      </c>
      <c r="D18" s="104">
        <f>'Приложение 7'!G53</f>
        <v>0</v>
      </c>
      <c r="E18" s="104">
        <v>60</v>
      </c>
      <c r="F18" s="104">
        <v>60</v>
      </c>
    </row>
    <row r="19" spans="1:6" ht="24.75" customHeight="1" x14ac:dyDescent="0.25">
      <c r="A19" s="108" t="s">
        <v>237</v>
      </c>
      <c r="B19" s="109"/>
      <c r="C19" s="103" t="s">
        <v>91</v>
      </c>
      <c r="D19" s="104">
        <f>'Приложение 7'!G56</f>
        <v>8.6</v>
      </c>
      <c r="E19" s="104">
        <v>210</v>
      </c>
      <c r="F19" s="104">
        <v>210</v>
      </c>
    </row>
    <row r="20" spans="1:6" ht="15.75" customHeight="1" x14ac:dyDescent="0.25">
      <c r="A20" s="100" t="s">
        <v>294</v>
      </c>
      <c r="B20" s="101" t="s">
        <v>239</v>
      </c>
      <c r="C20" s="106"/>
      <c r="D20" s="107">
        <f>SUM(D21:D22)</f>
        <v>22414.84</v>
      </c>
      <c r="E20" s="107">
        <f>SUM(E21:E22)</f>
        <v>10345.647649999999</v>
      </c>
      <c r="F20" s="107">
        <f>SUM(F21:F22)</f>
        <v>5833.46</v>
      </c>
    </row>
    <row r="21" spans="1:6" ht="17.25" customHeight="1" x14ac:dyDescent="0.25">
      <c r="A21" s="102" t="s">
        <v>295</v>
      </c>
      <c r="B21" s="103"/>
      <c r="C21" s="103" t="s">
        <v>49</v>
      </c>
      <c r="D21" s="111">
        <f>'Приложение 7'!G60</f>
        <v>21302.93</v>
      </c>
      <c r="E21" s="111">
        <f>'Приложение 7'!H60</f>
        <v>10040.647649999999</v>
      </c>
      <c r="F21" s="111">
        <f>'Приложение 7'!I60</f>
        <v>5528.46</v>
      </c>
    </row>
    <row r="22" spans="1:6" ht="15" customHeight="1" x14ac:dyDescent="0.25">
      <c r="A22" s="102" t="s">
        <v>241</v>
      </c>
      <c r="B22" s="103"/>
      <c r="C22" s="103" t="s">
        <v>33</v>
      </c>
      <c r="D22" s="111">
        <f>'Приложение 7'!G66</f>
        <v>1111.9099999999999</v>
      </c>
      <c r="E22" s="111">
        <v>305</v>
      </c>
      <c r="F22" s="111">
        <v>305</v>
      </c>
    </row>
    <row r="23" spans="1:6" s="77" customFormat="1" ht="13.5" customHeight="1" x14ac:dyDescent="0.2">
      <c r="A23" s="112" t="s">
        <v>296</v>
      </c>
      <c r="B23" s="110" t="s">
        <v>58</v>
      </c>
      <c r="C23" s="110"/>
      <c r="D23" s="107">
        <f>SUM(D24:D26)</f>
        <v>35428.639999999999</v>
      </c>
      <c r="E23" s="107">
        <f>SUM(E24:E26)</f>
        <v>14738.02</v>
      </c>
      <c r="F23" s="107">
        <f>SUM(F24:F26)</f>
        <v>17089.79636</v>
      </c>
    </row>
    <row r="24" spans="1:6" ht="15" x14ac:dyDescent="0.25">
      <c r="A24" s="102" t="s">
        <v>243</v>
      </c>
      <c r="B24" s="103"/>
      <c r="C24" s="103" t="s">
        <v>34</v>
      </c>
      <c r="D24" s="111">
        <f>'Приложение 7'!G71</f>
        <v>10021.41</v>
      </c>
      <c r="E24" s="111">
        <f>'Приложение 7'!H71</f>
        <v>1494.52</v>
      </c>
      <c r="F24" s="111">
        <f>'Приложение 7'!I71</f>
        <v>4109.3614799999996</v>
      </c>
    </row>
    <row r="25" spans="1:6" ht="15" x14ac:dyDescent="0.25">
      <c r="A25" s="102" t="s">
        <v>244</v>
      </c>
      <c r="B25" s="103"/>
      <c r="C25" s="103" t="s">
        <v>75</v>
      </c>
      <c r="D25" s="111">
        <f>'Приложение 7'!G78</f>
        <v>148.91</v>
      </c>
      <c r="E25" s="111">
        <f>'Приложение 7'!H78</f>
        <v>35</v>
      </c>
      <c r="F25" s="111">
        <f>'Приложение 7'!I78</f>
        <v>35</v>
      </c>
    </row>
    <row r="26" spans="1:6" ht="15" x14ac:dyDescent="0.25">
      <c r="A26" s="102" t="s">
        <v>245</v>
      </c>
      <c r="B26" s="103"/>
      <c r="C26" s="103" t="s">
        <v>35</v>
      </c>
      <c r="D26" s="111">
        <f>'Приложение 7'!G81</f>
        <v>25258.32</v>
      </c>
      <c r="E26" s="111">
        <f>'Приложение 7'!H81</f>
        <v>13208.5</v>
      </c>
      <c r="F26" s="111">
        <f>'Приложение 7'!I81</f>
        <v>12945.434880000001</v>
      </c>
    </row>
    <row r="27" spans="1:6" s="77" customFormat="1" ht="14.45" customHeight="1" x14ac:dyDescent="0.2">
      <c r="A27" s="112" t="s">
        <v>297</v>
      </c>
      <c r="B27" s="110" t="s">
        <v>78</v>
      </c>
      <c r="C27" s="110"/>
      <c r="D27" s="107">
        <f>+D28</f>
        <v>441.35696999999999</v>
      </c>
      <c r="E27" s="107">
        <f>+E28</f>
        <v>300</v>
      </c>
      <c r="F27" s="107">
        <f>+F28</f>
        <v>300</v>
      </c>
    </row>
    <row r="28" spans="1:6" s="77" customFormat="1" ht="29.25" customHeight="1" x14ac:dyDescent="0.25">
      <c r="A28" s="446" t="s">
        <v>248</v>
      </c>
      <c r="B28" s="105"/>
      <c r="C28" s="447" t="s">
        <v>36</v>
      </c>
      <c r="D28" s="448">
        <f>'Приложение 7'!G96</f>
        <v>441.35696999999999</v>
      </c>
      <c r="E28" s="448">
        <v>300</v>
      </c>
      <c r="F28" s="448">
        <v>300</v>
      </c>
    </row>
    <row r="29" spans="1:6" ht="27.75" customHeight="1" x14ac:dyDescent="0.2">
      <c r="A29" s="100" t="s">
        <v>298</v>
      </c>
      <c r="B29" s="101" t="s">
        <v>37</v>
      </c>
      <c r="C29" s="101"/>
      <c r="D29" s="107">
        <f>D30</f>
        <v>10797.539000000001</v>
      </c>
      <c r="E29" s="107">
        <f t="shared" ref="E29:F29" si="1">E30</f>
        <v>6930.04</v>
      </c>
      <c r="F29" s="107">
        <f t="shared" si="1"/>
        <v>7232.58</v>
      </c>
    </row>
    <row r="30" spans="1:6" ht="15" x14ac:dyDescent="0.25">
      <c r="A30" s="113" t="s">
        <v>299</v>
      </c>
      <c r="B30" s="114"/>
      <c r="C30" s="103" t="s">
        <v>38</v>
      </c>
      <c r="D30" s="104">
        <f>'Приложение 7'!G101</f>
        <v>10797.539000000001</v>
      </c>
      <c r="E30" s="104">
        <f>'Приложение 7'!H101</f>
        <v>6930.04</v>
      </c>
      <c r="F30" s="104">
        <f>'Приложение 7'!I101</f>
        <v>7232.58</v>
      </c>
    </row>
    <row r="31" spans="1:6" ht="15" x14ac:dyDescent="0.25">
      <c r="A31" s="100" t="s">
        <v>300</v>
      </c>
      <c r="B31" s="101" t="s">
        <v>46</v>
      </c>
      <c r="C31" s="106"/>
      <c r="D31" s="107">
        <f>SUM(D32:D33)</f>
        <v>587.89</v>
      </c>
      <c r="E31" s="107">
        <f>SUM(E32:E33)</f>
        <v>2469.81</v>
      </c>
      <c r="F31" s="107">
        <f t="shared" ref="F31" si="2">SUM(F32:F33)</f>
        <v>635.80999999999995</v>
      </c>
    </row>
    <row r="32" spans="1:6" s="97" customFormat="1" ht="35.25" customHeight="1" x14ac:dyDescent="0.2">
      <c r="A32" s="449" t="s">
        <v>301</v>
      </c>
      <c r="B32" s="450"/>
      <c r="C32" s="451" t="s">
        <v>40</v>
      </c>
      <c r="D32" s="448">
        <f>'Приложение 7'!G119</f>
        <v>587.84</v>
      </c>
      <c r="E32" s="448">
        <f>'Приложение 7'!H119</f>
        <v>611.36</v>
      </c>
      <c r="F32" s="448">
        <f>'Приложение 7'!I119</f>
        <v>635.80999999999995</v>
      </c>
    </row>
    <row r="33" spans="1:6" s="97" customFormat="1" ht="24.75" customHeight="1" x14ac:dyDescent="0.2">
      <c r="A33" s="449" t="s">
        <v>250</v>
      </c>
      <c r="B33" s="450"/>
      <c r="C33" s="451" t="s">
        <v>137</v>
      </c>
      <c r="D33" s="448">
        <f>'Приложение 7'!G123</f>
        <v>0.05</v>
      </c>
      <c r="E33" s="448">
        <f>'Приложение 7'!H121</f>
        <v>1858.4499999999998</v>
      </c>
      <c r="F33" s="448">
        <f>'Приложение 7'!I122</f>
        <v>0</v>
      </c>
    </row>
    <row r="34" spans="1:6" ht="27.75" customHeight="1" x14ac:dyDescent="0.2">
      <c r="A34" s="100" t="s">
        <v>302</v>
      </c>
      <c r="B34" s="101" t="s">
        <v>255</v>
      </c>
      <c r="C34" s="101"/>
      <c r="D34" s="107">
        <f>+D35</f>
        <v>1319.4</v>
      </c>
      <c r="E34" s="107">
        <f>E35</f>
        <v>1000</v>
      </c>
      <c r="F34" s="107">
        <f>F35</f>
        <v>1000</v>
      </c>
    </row>
    <row r="35" spans="1:6" ht="15.75" customHeight="1" x14ac:dyDescent="0.25">
      <c r="A35" s="102" t="s">
        <v>303</v>
      </c>
      <c r="B35" s="103"/>
      <c r="C35" s="103" t="s">
        <v>96</v>
      </c>
      <c r="D35" s="104">
        <f>'Приложение 7'!G125</f>
        <v>1319.4</v>
      </c>
      <c r="E35" s="104">
        <f>'Приложение 7'!H125</f>
        <v>1000</v>
      </c>
      <c r="F35" s="104">
        <f>'Приложение 7'!I125</f>
        <v>1000</v>
      </c>
    </row>
    <row r="36" spans="1:6" ht="16.5" hidden="1" customHeight="1" x14ac:dyDescent="0.25">
      <c r="A36" s="102" t="s">
        <v>304</v>
      </c>
      <c r="B36" s="103" t="s">
        <v>305</v>
      </c>
      <c r="C36" s="103" t="s">
        <v>305</v>
      </c>
      <c r="D36" s="104" t="e">
        <f>#REF!+#REF!+#REF!</f>
        <v>#REF!</v>
      </c>
      <c r="E36" s="104" t="e">
        <f>D36+#REF!+#REF!</f>
        <v>#REF!</v>
      </c>
      <c r="F36" s="104" t="e">
        <f>#REF!+#REF!+#REF!</f>
        <v>#REF!</v>
      </c>
    </row>
    <row r="37" spans="1:6" ht="24" hidden="1" customHeight="1" thickBot="1" x14ac:dyDescent="0.3">
      <c r="A37" s="102" t="s">
        <v>306</v>
      </c>
      <c r="B37" s="103" t="s">
        <v>307</v>
      </c>
      <c r="C37" s="103" t="s">
        <v>307</v>
      </c>
      <c r="D37" s="104" t="e">
        <f>#REF!+#REF!+#REF!</f>
        <v>#REF!</v>
      </c>
      <c r="E37" s="104" t="e">
        <f>D37+#REF!+#REF!</f>
        <v>#REF!</v>
      </c>
      <c r="F37" s="104" t="e">
        <f>#REF!+#REF!+#REF!</f>
        <v>#REF!</v>
      </c>
    </row>
    <row r="38" spans="1:6" ht="12.75" hidden="1" customHeight="1" thickBot="1" x14ac:dyDescent="0.3">
      <c r="A38" s="102" t="s">
        <v>308</v>
      </c>
      <c r="B38" s="103" t="s">
        <v>309</v>
      </c>
      <c r="C38" s="103" t="s">
        <v>309</v>
      </c>
      <c r="D38" s="104" t="e">
        <f>#REF!+#REF!+#REF!</f>
        <v>#REF!</v>
      </c>
      <c r="E38" s="104" t="e">
        <f>D38+#REF!+#REF!</f>
        <v>#REF!</v>
      </c>
      <c r="F38" s="104" t="e">
        <f>#REF!+#REF!+#REF!</f>
        <v>#REF!</v>
      </c>
    </row>
    <row r="39" spans="1:6" s="77" customFormat="1" ht="16.5" customHeight="1" thickBot="1" x14ac:dyDescent="0.25">
      <c r="A39" s="115" t="s">
        <v>310</v>
      </c>
      <c r="B39" s="116"/>
      <c r="C39" s="116"/>
      <c r="D39" s="117">
        <f>++D29+D27+D23+D17+D9+D34+D20+D31+D15</f>
        <v>95357.446469999981</v>
      </c>
      <c r="E39" s="117">
        <f>++E29+E27+E23+E17+E9+E34+E20+E31+E15</f>
        <v>53164.237650000003</v>
      </c>
      <c r="F39" s="117">
        <f>++F29+F27+F23+F17+F9+F34+F20+F31+F15</f>
        <v>49703.36636</v>
      </c>
    </row>
    <row r="40" spans="1:6" ht="13.5" hidden="1" customHeight="1" thickBot="1" x14ac:dyDescent="0.25">
      <c r="A40" s="118" t="s">
        <v>311</v>
      </c>
      <c r="B40" s="119"/>
      <c r="C40" s="119"/>
      <c r="D40" s="119"/>
    </row>
    <row r="41" spans="1:6" s="122" customFormat="1" ht="12.75" hidden="1" customHeight="1" x14ac:dyDescent="0.2">
      <c r="A41" s="120" t="s">
        <v>312</v>
      </c>
      <c r="B41" s="121"/>
      <c r="C41" s="121"/>
      <c r="D41" s="121"/>
    </row>
    <row r="42" spans="1:6" ht="7.5" customHeight="1" x14ac:dyDescent="0.2"/>
    <row r="43" spans="1:6" ht="12.75" customHeight="1" x14ac:dyDescent="0.25">
      <c r="A43" s="124"/>
    </row>
    <row r="44" spans="1:6" ht="15" customHeight="1" x14ac:dyDescent="0.2">
      <c r="A44" s="125"/>
    </row>
    <row r="45" spans="1:6" ht="15" customHeight="1" x14ac:dyDescent="0.2">
      <c r="A45" s="125"/>
    </row>
    <row r="46" spans="1:6" ht="15" customHeight="1" x14ac:dyDescent="0.25">
      <c r="A46" s="126"/>
    </row>
    <row r="47" spans="1:6" ht="15" customHeight="1" x14ac:dyDescent="0.25">
      <c r="A47" s="127"/>
    </row>
    <row r="48" spans="1:6" ht="12.75" customHeight="1" x14ac:dyDescent="0.25">
      <c r="A48" s="128"/>
    </row>
    <row r="49" spans="1:1" ht="12.75" customHeight="1" x14ac:dyDescent="0.25">
      <c r="A49" s="128"/>
    </row>
    <row r="51" spans="1:1" ht="15" x14ac:dyDescent="0.25">
      <c r="A51" s="128"/>
    </row>
    <row r="52" spans="1:1" ht="15" x14ac:dyDescent="0.25">
      <c r="A52" s="127"/>
    </row>
    <row r="53" spans="1:1" ht="15" x14ac:dyDescent="0.25">
      <c r="A53" s="128"/>
    </row>
    <row r="54" spans="1:1" ht="15" x14ac:dyDescent="0.25">
      <c r="A54" s="128"/>
    </row>
    <row r="56" spans="1:1" ht="15" x14ac:dyDescent="0.25">
      <c r="A56" s="128"/>
    </row>
  </sheetData>
  <mergeCells count="7">
    <mergeCell ref="A5:F5"/>
    <mergeCell ref="A6:A8"/>
    <mergeCell ref="B6:B8"/>
    <mergeCell ref="C6:C8"/>
    <mergeCell ref="E6:E8"/>
    <mergeCell ref="F6:F8"/>
    <mergeCell ref="D6:D8"/>
  </mergeCells>
  <pageMargins left="0.70866141732283472" right="0" top="0" bottom="0" header="0" footer="0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149"/>
  <sheetViews>
    <sheetView workbookViewId="0">
      <selection activeCell="A2" sqref="A2:H141"/>
    </sheetView>
  </sheetViews>
  <sheetFormatPr defaultColWidth="8.85546875" defaultRowHeight="12.75" x14ac:dyDescent="0.2"/>
  <cols>
    <col min="1" max="1" width="37.28515625" style="1" customWidth="1"/>
    <col min="2" max="2" width="6.42578125" style="1" customWidth="1"/>
    <col min="3" max="3" width="12" style="1" customWidth="1"/>
    <col min="4" max="4" width="11.28515625" style="1" customWidth="1"/>
    <col min="5" max="5" width="9.7109375" style="1" customWidth="1"/>
    <col min="6" max="6" width="10.140625" style="1" customWidth="1"/>
    <col min="7" max="7" width="13.7109375" style="1" customWidth="1"/>
    <col min="8" max="8" width="14.7109375" style="1" customWidth="1"/>
    <col min="9" max="26" width="15.7109375" style="1" customWidth="1"/>
    <col min="27" max="16384" width="8.85546875" style="1"/>
  </cols>
  <sheetData>
    <row r="1" spans="1:8" x14ac:dyDescent="0.2">
      <c r="F1" s="537" t="s">
        <v>258</v>
      </c>
      <c r="G1" s="518"/>
      <c r="H1" s="518"/>
    </row>
    <row r="2" spans="1:8" x14ac:dyDescent="0.2">
      <c r="F2" s="537" t="s">
        <v>232</v>
      </c>
      <c r="G2" s="518"/>
      <c r="H2" s="518"/>
    </row>
    <row r="3" spans="1:8" x14ac:dyDescent="0.2">
      <c r="F3" s="537" t="s">
        <v>221</v>
      </c>
      <c r="G3" s="518"/>
      <c r="H3" s="518"/>
    </row>
    <row r="4" spans="1:8" x14ac:dyDescent="0.2">
      <c r="F4" s="537" t="s">
        <v>523</v>
      </c>
      <c r="G4" s="518"/>
      <c r="H4" s="518"/>
    </row>
    <row r="6" spans="1:8" ht="13.5" customHeight="1" x14ac:dyDescent="0.2">
      <c r="A6" s="544" t="s">
        <v>158</v>
      </c>
      <c r="B6" s="544"/>
      <c r="C6" s="544"/>
      <c r="D6" s="544"/>
      <c r="E6" s="544"/>
      <c r="F6" s="544"/>
      <c r="G6" s="513"/>
      <c r="H6" s="513"/>
    </row>
    <row r="7" spans="1:8" ht="33" customHeight="1" x14ac:dyDescent="0.2">
      <c r="A7" s="545"/>
      <c r="B7" s="545"/>
      <c r="C7" s="545"/>
      <c r="D7" s="545"/>
      <c r="E7" s="545"/>
      <c r="F7" s="545"/>
      <c r="G7" s="546"/>
      <c r="H7" s="546"/>
    </row>
    <row r="8" spans="1:8" ht="12.75" customHeight="1" x14ac:dyDescent="0.2">
      <c r="A8" s="538" t="s">
        <v>11</v>
      </c>
      <c r="B8" s="541" t="s">
        <v>6</v>
      </c>
      <c r="C8" s="542"/>
      <c r="D8" s="542"/>
      <c r="E8" s="543"/>
      <c r="F8" s="538" t="s">
        <v>159</v>
      </c>
      <c r="G8" s="538" t="s">
        <v>98</v>
      </c>
      <c r="H8" s="538" t="s">
        <v>160</v>
      </c>
    </row>
    <row r="9" spans="1:8" ht="28.5" customHeight="1" x14ac:dyDescent="0.2">
      <c r="A9" s="540"/>
      <c r="B9" s="2" t="s">
        <v>7</v>
      </c>
      <c r="C9" s="2" t="s">
        <v>10</v>
      </c>
      <c r="D9" s="2" t="s">
        <v>9</v>
      </c>
      <c r="E9" s="2" t="s">
        <v>8</v>
      </c>
      <c r="F9" s="539"/>
      <c r="G9" s="539"/>
      <c r="H9" s="539"/>
    </row>
    <row r="10" spans="1:8" x14ac:dyDescent="0.2">
      <c r="A10" s="3" t="s">
        <v>0</v>
      </c>
      <c r="B10" s="3" t="s">
        <v>1</v>
      </c>
      <c r="C10" s="3" t="s">
        <v>2</v>
      </c>
      <c r="D10" s="3" t="s">
        <v>5</v>
      </c>
      <c r="E10" s="3" t="s">
        <v>3</v>
      </c>
      <c r="F10" s="3" t="s">
        <v>4</v>
      </c>
      <c r="G10" s="3" t="s">
        <v>4</v>
      </c>
      <c r="H10" s="3" t="s">
        <v>4</v>
      </c>
    </row>
    <row r="11" spans="1:8" x14ac:dyDescent="0.2">
      <c r="A11" s="4" t="s">
        <v>43</v>
      </c>
      <c r="B11" s="5" t="s">
        <v>13</v>
      </c>
      <c r="C11" s="5" t="s">
        <v>12</v>
      </c>
      <c r="D11" s="5" t="s">
        <v>3</v>
      </c>
      <c r="E11" s="5" t="s">
        <v>12</v>
      </c>
      <c r="F11" s="6">
        <f>F12+F58+F54</f>
        <v>25469.610000000004</v>
      </c>
      <c r="G11" s="6">
        <f>G12+G58+G54</f>
        <v>18109.600000000002</v>
      </c>
      <c r="H11" s="6">
        <f>H12+H58+H54</f>
        <v>18369.38</v>
      </c>
    </row>
    <row r="12" spans="1:8" x14ac:dyDescent="0.2">
      <c r="A12" s="7" t="s">
        <v>15</v>
      </c>
      <c r="B12" s="5" t="s">
        <v>13</v>
      </c>
      <c r="C12" s="5" t="s">
        <v>14</v>
      </c>
      <c r="D12" s="5"/>
      <c r="E12" s="5" t="s">
        <v>12</v>
      </c>
      <c r="F12" s="8">
        <f>F13+F15+F46+F49+F36+F43</f>
        <v>24584.370000000003</v>
      </c>
      <c r="G12" s="8">
        <f>G13+G15+G46+G49+G36+G43</f>
        <v>17200.84</v>
      </c>
      <c r="H12" s="8">
        <f>H13+H15+H46+H49+H36+H43</f>
        <v>17436.169999999998</v>
      </c>
    </row>
    <row r="13" spans="1:8" ht="56.25" x14ac:dyDescent="0.2">
      <c r="A13" s="9" t="s">
        <v>17</v>
      </c>
      <c r="B13" s="10" t="s">
        <v>13</v>
      </c>
      <c r="C13" s="10" t="s">
        <v>16</v>
      </c>
      <c r="D13" s="11" t="s">
        <v>52</v>
      </c>
      <c r="E13" s="12" t="s">
        <v>18</v>
      </c>
      <c r="F13" s="13">
        <f>+F14</f>
        <v>0</v>
      </c>
      <c r="G13" s="13">
        <f>+G14</f>
        <v>200</v>
      </c>
      <c r="H13" s="13">
        <f>+H14</f>
        <v>300</v>
      </c>
    </row>
    <row r="14" spans="1:8" ht="56.25" x14ac:dyDescent="0.2">
      <c r="A14" s="14" t="s">
        <v>19</v>
      </c>
      <c r="B14" s="15" t="s">
        <v>13</v>
      </c>
      <c r="C14" s="15" t="s">
        <v>16</v>
      </c>
      <c r="D14" s="16" t="s">
        <v>51</v>
      </c>
      <c r="E14" s="16" t="s">
        <v>18</v>
      </c>
      <c r="F14" s="17">
        <v>0</v>
      </c>
      <c r="G14" s="17">
        <v>200</v>
      </c>
      <c r="H14" s="17">
        <v>300</v>
      </c>
    </row>
    <row r="15" spans="1:8" ht="56.25" x14ac:dyDescent="0.2">
      <c r="A15" s="7" t="s">
        <v>21</v>
      </c>
      <c r="B15" s="5" t="s">
        <v>13</v>
      </c>
      <c r="C15" s="5" t="s">
        <v>20</v>
      </c>
      <c r="D15" s="5" t="s">
        <v>52</v>
      </c>
      <c r="E15" s="28"/>
      <c r="F15" s="8">
        <f>SUM(F16:F35)</f>
        <v>15514.140000000001</v>
      </c>
      <c r="G15" s="8">
        <f>SUM(G16:G35)</f>
        <v>15213.32</v>
      </c>
      <c r="H15" s="8">
        <f>SUM(H16:H35)</f>
        <v>15344.32</v>
      </c>
    </row>
    <row r="16" spans="1:8" ht="22.5" x14ac:dyDescent="0.2">
      <c r="A16" s="18" t="s">
        <v>59</v>
      </c>
      <c r="B16" s="16" t="s">
        <v>13</v>
      </c>
      <c r="C16" s="16" t="s">
        <v>20</v>
      </c>
      <c r="D16" s="16" t="s">
        <v>53</v>
      </c>
      <c r="E16" s="16" t="s">
        <v>22</v>
      </c>
      <c r="F16" s="76">
        <f>6900-110</f>
        <v>6790</v>
      </c>
      <c r="G16" s="76">
        <v>6900</v>
      </c>
      <c r="H16" s="76">
        <v>6900</v>
      </c>
    </row>
    <row r="17" spans="1:8" ht="45" x14ac:dyDescent="0.2">
      <c r="A17" s="18" t="s">
        <v>60</v>
      </c>
      <c r="B17" s="16" t="s">
        <v>13</v>
      </c>
      <c r="C17" s="16" t="s">
        <v>20</v>
      </c>
      <c r="D17" s="16" t="s">
        <v>53</v>
      </c>
      <c r="E17" s="16" t="s">
        <v>62</v>
      </c>
      <c r="F17" s="76">
        <f>2100-50</f>
        <v>2050</v>
      </c>
      <c r="G17" s="76">
        <v>2083.8000000000002</v>
      </c>
      <c r="H17" s="76">
        <v>2083.8000000000002</v>
      </c>
    </row>
    <row r="18" spans="1:8" ht="22.5" x14ac:dyDescent="0.2">
      <c r="A18" s="18" t="s">
        <v>59</v>
      </c>
      <c r="B18" s="16" t="s">
        <v>13</v>
      </c>
      <c r="C18" s="16" t="s">
        <v>20</v>
      </c>
      <c r="D18" s="16" t="s">
        <v>445</v>
      </c>
      <c r="E18" s="16" t="s">
        <v>22</v>
      </c>
      <c r="F18" s="76">
        <v>114.25</v>
      </c>
      <c r="G18" s="76">
        <v>0</v>
      </c>
      <c r="H18" s="76">
        <v>0</v>
      </c>
    </row>
    <row r="19" spans="1:8" ht="45" x14ac:dyDescent="0.2">
      <c r="A19" s="18" t="s">
        <v>60</v>
      </c>
      <c r="B19" s="16" t="s">
        <v>13</v>
      </c>
      <c r="C19" s="16" t="s">
        <v>20</v>
      </c>
      <c r="D19" s="16" t="s">
        <v>445</v>
      </c>
      <c r="E19" s="16" t="s">
        <v>62</v>
      </c>
      <c r="F19" s="76">
        <v>34.51</v>
      </c>
      <c r="G19" s="76">
        <v>0</v>
      </c>
      <c r="H19" s="76">
        <v>0</v>
      </c>
    </row>
    <row r="20" spans="1:8" ht="22.5" x14ac:dyDescent="0.2">
      <c r="A20" s="18" t="s">
        <v>59</v>
      </c>
      <c r="B20" s="16" t="s">
        <v>13</v>
      </c>
      <c r="C20" s="16" t="s">
        <v>20</v>
      </c>
      <c r="D20" s="16" t="s">
        <v>83</v>
      </c>
      <c r="E20" s="16" t="s">
        <v>22</v>
      </c>
      <c r="F20" s="76">
        <f>1400-150</f>
        <v>1250</v>
      </c>
      <c r="G20" s="76">
        <v>1500</v>
      </c>
      <c r="H20" s="76">
        <v>1600</v>
      </c>
    </row>
    <row r="21" spans="1:8" ht="45" x14ac:dyDescent="0.2">
      <c r="A21" s="18" t="s">
        <v>60</v>
      </c>
      <c r="B21" s="16" t="s">
        <v>13</v>
      </c>
      <c r="C21" s="16" t="s">
        <v>20</v>
      </c>
      <c r="D21" s="16" t="s">
        <v>83</v>
      </c>
      <c r="E21" s="16" t="s">
        <v>62</v>
      </c>
      <c r="F21" s="76">
        <f>423-50</f>
        <v>373</v>
      </c>
      <c r="G21" s="76">
        <v>453</v>
      </c>
      <c r="H21" s="76">
        <v>484</v>
      </c>
    </row>
    <row r="22" spans="1:8" ht="22.5" x14ac:dyDescent="0.2">
      <c r="A22" s="18" t="s">
        <v>59</v>
      </c>
      <c r="B22" s="16" t="s">
        <v>13</v>
      </c>
      <c r="C22" s="16" t="s">
        <v>20</v>
      </c>
      <c r="D22" s="16" t="s">
        <v>54</v>
      </c>
      <c r="E22" s="16" t="s">
        <v>22</v>
      </c>
      <c r="F22" s="20">
        <f>1002+54</f>
        <v>1056</v>
      </c>
      <c r="G22" s="20">
        <v>1043</v>
      </c>
      <c r="H22" s="20">
        <v>1043</v>
      </c>
    </row>
    <row r="23" spans="1:8" ht="45" x14ac:dyDescent="0.2">
      <c r="A23" s="18" t="s">
        <v>60</v>
      </c>
      <c r="B23" s="16" t="s">
        <v>13</v>
      </c>
      <c r="C23" s="16" t="s">
        <v>20</v>
      </c>
      <c r="D23" s="16" t="s">
        <v>54</v>
      </c>
      <c r="E23" s="16" t="s">
        <v>62</v>
      </c>
      <c r="F23" s="20">
        <f>303+2</f>
        <v>305</v>
      </c>
      <c r="G23" s="20">
        <v>315</v>
      </c>
      <c r="H23" s="20">
        <v>315</v>
      </c>
    </row>
    <row r="24" spans="1:8" ht="33.75" x14ac:dyDescent="0.2">
      <c r="A24" s="18" t="s">
        <v>84</v>
      </c>
      <c r="B24" s="16" t="s">
        <v>13</v>
      </c>
      <c r="C24" s="16" t="s">
        <v>20</v>
      </c>
      <c r="D24" s="16" t="s">
        <v>54</v>
      </c>
      <c r="E24" s="16" t="s">
        <v>85</v>
      </c>
      <c r="F24" s="19">
        <v>15</v>
      </c>
      <c r="G24" s="19">
        <v>15</v>
      </c>
      <c r="H24" s="19">
        <v>15</v>
      </c>
    </row>
    <row r="25" spans="1:8" ht="22.5" x14ac:dyDescent="0.2">
      <c r="A25" s="18" t="s">
        <v>59</v>
      </c>
      <c r="B25" s="16" t="s">
        <v>13</v>
      </c>
      <c r="C25" s="16" t="s">
        <v>20</v>
      </c>
      <c r="D25" s="16" t="s">
        <v>446</v>
      </c>
      <c r="E25" s="16" t="s">
        <v>22</v>
      </c>
      <c r="F25" s="20">
        <v>20</v>
      </c>
      <c r="G25" s="19">
        <v>0</v>
      </c>
      <c r="H25" s="19">
        <v>0</v>
      </c>
    </row>
    <row r="26" spans="1:8" ht="45" x14ac:dyDescent="0.2">
      <c r="A26" s="18" t="s">
        <v>60</v>
      </c>
      <c r="B26" s="16" t="s">
        <v>13</v>
      </c>
      <c r="C26" s="16" t="s">
        <v>20</v>
      </c>
      <c r="D26" s="16" t="s">
        <v>446</v>
      </c>
      <c r="E26" s="16" t="s">
        <v>62</v>
      </c>
      <c r="F26" s="20">
        <v>6.04</v>
      </c>
      <c r="G26" s="19">
        <v>0</v>
      </c>
      <c r="H26" s="19">
        <v>0</v>
      </c>
    </row>
    <row r="27" spans="1:8" ht="22.5" x14ac:dyDescent="0.2">
      <c r="A27" s="18" t="s">
        <v>65</v>
      </c>
      <c r="B27" s="16" t="s">
        <v>13</v>
      </c>
      <c r="C27" s="16" t="s">
        <v>20</v>
      </c>
      <c r="D27" s="16" t="s">
        <v>54</v>
      </c>
      <c r="E27" s="16" t="s">
        <v>67</v>
      </c>
      <c r="F27" s="19">
        <f>830.8+83</f>
        <v>913.8</v>
      </c>
      <c r="G27" s="19">
        <v>600</v>
      </c>
      <c r="H27" s="19">
        <v>600</v>
      </c>
    </row>
    <row r="28" spans="1:8" ht="33.75" x14ac:dyDescent="0.2">
      <c r="A28" s="18" t="s">
        <v>24</v>
      </c>
      <c r="B28" s="16" t="s">
        <v>13</v>
      </c>
      <c r="C28" s="16" t="s">
        <v>20</v>
      </c>
      <c r="D28" s="16" t="s">
        <v>54</v>
      </c>
      <c r="E28" s="16" t="s">
        <v>23</v>
      </c>
      <c r="F28" s="19">
        <v>1758.02</v>
      </c>
      <c r="G28" s="19">
        <v>1550</v>
      </c>
      <c r="H28" s="19">
        <v>1550</v>
      </c>
    </row>
    <row r="29" spans="1:8" ht="33.75" x14ac:dyDescent="0.2">
      <c r="A29" s="18" t="s">
        <v>24</v>
      </c>
      <c r="B29" s="16" t="s">
        <v>13</v>
      </c>
      <c r="C29" s="16" t="s">
        <v>20</v>
      </c>
      <c r="D29" s="16" t="s">
        <v>54</v>
      </c>
      <c r="E29" s="16" t="s">
        <v>350</v>
      </c>
      <c r="F29" s="19">
        <v>580</v>
      </c>
      <c r="G29" s="19">
        <v>450</v>
      </c>
      <c r="H29" s="19">
        <v>450</v>
      </c>
    </row>
    <row r="30" spans="1:8" ht="33.75" x14ac:dyDescent="0.2">
      <c r="A30" s="18" t="s">
        <v>24</v>
      </c>
      <c r="B30" s="16" t="s">
        <v>13</v>
      </c>
      <c r="C30" s="16" t="s">
        <v>20</v>
      </c>
      <c r="D30" s="16" t="s">
        <v>114</v>
      </c>
      <c r="E30" s="21" t="s">
        <v>23</v>
      </c>
      <c r="F30" s="22">
        <v>3.52</v>
      </c>
      <c r="G30" s="22">
        <v>3.52</v>
      </c>
      <c r="H30" s="22">
        <v>3.52</v>
      </c>
    </row>
    <row r="31" spans="1:8" x14ac:dyDescent="0.2">
      <c r="A31" s="18" t="s">
        <v>86</v>
      </c>
      <c r="B31" s="16" t="s">
        <v>13</v>
      </c>
      <c r="C31" s="16" t="s">
        <v>20</v>
      </c>
      <c r="D31" s="16" t="s">
        <v>54</v>
      </c>
      <c r="E31" s="21" t="s">
        <v>87</v>
      </c>
      <c r="F31" s="22">
        <f>50-25</f>
        <v>25</v>
      </c>
      <c r="G31" s="22">
        <v>50</v>
      </c>
      <c r="H31" s="22">
        <v>50</v>
      </c>
    </row>
    <row r="32" spans="1:8" x14ac:dyDescent="0.2">
      <c r="A32" s="18" t="s">
        <v>64</v>
      </c>
      <c r="B32" s="16" t="s">
        <v>13</v>
      </c>
      <c r="C32" s="16" t="s">
        <v>20</v>
      </c>
      <c r="D32" s="16" t="s">
        <v>54</v>
      </c>
      <c r="E32" s="21" t="s">
        <v>68</v>
      </c>
      <c r="F32" s="22">
        <v>0</v>
      </c>
      <c r="G32" s="22">
        <v>50</v>
      </c>
      <c r="H32" s="22">
        <v>50</v>
      </c>
    </row>
    <row r="33" spans="1:8" x14ac:dyDescent="0.2">
      <c r="A33" s="18" t="s">
        <v>66</v>
      </c>
      <c r="B33" s="16" t="s">
        <v>13</v>
      </c>
      <c r="C33" s="16" t="s">
        <v>20</v>
      </c>
      <c r="D33" s="16" t="s">
        <v>54</v>
      </c>
      <c r="E33" s="21" t="s">
        <v>69</v>
      </c>
      <c r="F33" s="22">
        <v>50</v>
      </c>
      <c r="G33" s="22">
        <v>50</v>
      </c>
      <c r="H33" s="22">
        <v>50</v>
      </c>
    </row>
    <row r="34" spans="1:8" ht="33.75" x14ac:dyDescent="0.2">
      <c r="A34" s="18" t="s">
        <v>24</v>
      </c>
      <c r="B34" s="21" t="s">
        <v>13</v>
      </c>
      <c r="C34" s="21" t="s">
        <v>20</v>
      </c>
      <c r="D34" s="21" t="s">
        <v>88</v>
      </c>
      <c r="E34" s="21" t="s">
        <v>23</v>
      </c>
      <c r="F34" s="22">
        <v>70</v>
      </c>
      <c r="G34" s="22">
        <v>50</v>
      </c>
      <c r="H34" s="22">
        <v>50</v>
      </c>
    </row>
    <row r="35" spans="1:8" ht="34.5" thickBot="1" x14ac:dyDescent="0.25">
      <c r="A35" s="34" t="s">
        <v>24</v>
      </c>
      <c r="B35" s="35" t="s">
        <v>13</v>
      </c>
      <c r="C35" s="35" t="s">
        <v>20</v>
      </c>
      <c r="D35" s="35" t="s">
        <v>89</v>
      </c>
      <c r="E35" s="35" t="s">
        <v>23</v>
      </c>
      <c r="F35" s="36">
        <v>100</v>
      </c>
      <c r="G35" s="36">
        <v>100</v>
      </c>
      <c r="H35" s="36">
        <v>100</v>
      </c>
    </row>
    <row r="36" spans="1:8" x14ac:dyDescent="0.2">
      <c r="A36" s="38" t="s">
        <v>102</v>
      </c>
      <c r="B36" s="39" t="s">
        <v>13</v>
      </c>
      <c r="C36" s="39"/>
      <c r="D36" s="39" t="s">
        <v>108</v>
      </c>
      <c r="E36" s="39" t="s">
        <v>105</v>
      </c>
      <c r="F36" s="40">
        <f>SUM(F37:F42)</f>
        <v>472.64</v>
      </c>
      <c r="G36" s="40">
        <f t="shared" ref="G36:H36" si="0">SUM(G37:G42)</f>
        <v>0</v>
      </c>
      <c r="H36" s="40">
        <f t="shared" si="0"/>
        <v>0</v>
      </c>
    </row>
    <row r="37" spans="1:8" x14ac:dyDescent="0.2">
      <c r="A37" s="41" t="s">
        <v>102</v>
      </c>
      <c r="B37" s="21" t="s">
        <v>13</v>
      </c>
      <c r="C37" s="21" t="s">
        <v>103</v>
      </c>
      <c r="D37" s="21" t="s">
        <v>104</v>
      </c>
      <c r="E37" s="21" t="s">
        <v>105</v>
      </c>
      <c r="F37" s="33">
        <v>128</v>
      </c>
      <c r="G37" s="33">
        <v>0</v>
      </c>
      <c r="H37" s="53">
        <v>0</v>
      </c>
    </row>
    <row r="38" spans="1:8" x14ac:dyDescent="0.2">
      <c r="A38" s="41" t="s">
        <v>102</v>
      </c>
      <c r="B38" s="21" t="s">
        <v>13</v>
      </c>
      <c r="C38" s="21" t="s">
        <v>103</v>
      </c>
      <c r="D38" s="21" t="s">
        <v>106</v>
      </c>
      <c r="E38" s="21" t="s">
        <v>105</v>
      </c>
      <c r="F38" s="33">
        <v>59.1</v>
      </c>
      <c r="G38" s="33">
        <v>0</v>
      </c>
      <c r="H38" s="53">
        <v>0</v>
      </c>
    </row>
    <row r="39" spans="1:8" x14ac:dyDescent="0.2">
      <c r="A39" s="41" t="s">
        <v>102</v>
      </c>
      <c r="B39" s="21" t="s">
        <v>13</v>
      </c>
      <c r="C39" s="21" t="s">
        <v>103</v>
      </c>
      <c r="D39" s="21" t="s">
        <v>107</v>
      </c>
      <c r="E39" s="21" t="s">
        <v>105</v>
      </c>
      <c r="F39" s="33">
        <v>35.53</v>
      </c>
      <c r="G39" s="33">
        <v>0</v>
      </c>
      <c r="H39" s="53">
        <v>0</v>
      </c>
    </row>
    <row r="40" spans="1:8" x14ac:dyDescent="0.2">
      <c r="A40" s="41" t="s">
        <v>102</v>
      </c>
      <c r="B40" s="21" t="s">
        <v>13</v>
      </c>
      <c r="C40" s="21" t="s">
        <v>34</v>
      </c>
      <c r="D40" s="21" t="s">
        <v>111</v>
      </c>
      <c r="E40" s="21" t="s">
        <v>105</v>
      </c>
      <c r="F40" s="33">
        <v>109.5</v>
      </c>
      <c r="G40" s="33">
        <v>0</v>
      </c>
      <c r="H40" s="53">
        <v>0</v>
      </c>
    </row>
    <row r="41" spans="1:8" x14ac:dyDescent="0.2">
      <c r="A41" s="41" t="s">
        <v>102</v>
      </c>
      <c r="B41" s="21" t="s">
        <v>13</v>
      </c>
      <c r="C41" s="21" t="s">
        <v>34</v>
      </c>
      <c r="D41" s="21" t="s">
        <v>112</v>
      </c>
      <c r="E41" s="21" t="s">
        <v>105</v>
      </c>
      <c r="F41" s="33">
        <v>26.6</v>
      </c>
      <c r="G41" s="33">
        <v>0</v>
      </c>
      <c r="H41" s="53">
        <v>0</v>
      </c>
    </row>
    <row r="42" spans="1:8" x14ac:dyDescent="0.2">
      <c r="A42" s="79" t="s">
        <v>102</v>
      </c>
      <c r="B42" s="35" t="s">
        <v>13</v>
      </c>
      <c r="C42" s="35" t="s">
        <v>75</v>
      </c>
      <c r="D42" s="35" t="s">
        <v>113</v>
      </c>
      <c r="E42" s="35" t="s">
        <v>105</v>
      </c>
      <c r="F42" s="78">
        <v>113.91</v>
      </c>
      <c r="G42" s="78">
        <v>0</v>
      </c>
      <c r="H42" s="80">
        <v>0</v>
      </c>
    </row>
    <row r="43" spans="1:8" x14ac:dyDescent="0.2">
      <c r="A43" s="7" t="s">
        <v>25</v>
      </c>
      <c r="B43" s="5" t="s">
        <v>13</v>
      </c>
      <c r="C43" s="5" t="s">
        <v>58</v>
      </c>
      <c r="D43" s="5" t="s">
        <v>108</v>
      </c>
      <c r="E43" s="5" t="s">
        <v>23</v>
      </c>
      <c r="F43" s="8">
        <f>F44+F45</f>
        <v>272.58000000000004</v>
      </c>
      <c r="G43" s="8">
        <f t="shared" ref="G43:H43" si="1">G44+G45</f>
        <v>387.52</v>
      </c>
      <c r="H43" s="8">
        <f t="shared" si="1"/>
        <v>391.85</v>
      </c>
    </row>
    <row r="44" spans="1:8" ht="33.75" x14ac:dyDescent="0.2">
      <c r="A44" s="37" t="s">
        <v>24</v>
      </c>
      <c r="B44" s="21" t="s">
        <v>13</v>
      </c>
      <c r="C44" s="21" t="s">
        <v>34</v>
      </c>
      <c r="D44" s="21" t="s">
        <v>117</v>
      </c>
      <c r="E44" s="21" t="s">
        <v>23</v>
      </c>
      <c r="F44" s="33">
        <v>237.58</v>
      </c>
      <c r="G44" s="33">
        <v>352.52</v>
      </c>
      <c r="H44" s="33">
        <v>356.85</v>
      </c>
    </row>
    <row r="45" spans="1:8" ht="33.75" x14ac:dyDescent="0.2">
      <c r="A45" s="82" t="s">
        <v>24</v>
      </c>
      <c r="B45" s="83" t="s">
        <v>13</v>
      </c>
      <c r="C45" s="83" t="s">
        <v>75</v>
      </c>
      <c r="D45" s="83" t="s">
        <v>218</v>
      </c>
      <c r="E45" s="83" t="s">
        <v>350</v>
      </c>
      <c r="F45" s="81">
        <v>35</v>
      </c>
      <c r="G45" s="81">
        <v>35</v>
      </c>
      <c r="H45" s="84">
        <v>35</v>
      </c>
    </row>
    <row r="46" spans="1:8" x14ac:dyDescent="0.2">
      <c r="A46" s="7" t="s">
        <v>27</v>
      </c>
      <c r="B46" s="23" t="s">
        <v>13</v>
      </c>
      <c r="C46" s="23" t="s">
        <v>26</v>
      </c>
      <c r="D46" s="23" t="s">
        <v>12</v>
      </c>
      <c r="E46" s="23" t="s">
        <v>12</v>
      </c>
      <c r="F46" s="24">
        <f>F47</f>
        <v>0</v>
      </c>
      <c r="G46" s="24">
        <f t="shared" ref="G46:H46" si="2">G47</f>
        <v>1000</v>
      </c>
      <c r="H46" s="24">
        <f t="shared" si="2"/>
        <v>1000</v>
      </c>
    </row>
    <row r="47" spans="1:8" x14ac:dyDescent="0.2">
      <c r="A47" s="9" t="s">
        <v>25</v>
      </c>
      <c r="B47" s="12" t="s">
        <v>13</v>
      </c>
      <c r="C47" s="12" t="s">
        <v>26</v>
      </c>
      <c r="D47" s="12" t="s">
        <v>55</v>
      </c>
      <c r="E47" s="12" t="s">
        <v>12</v>
      </c>
      <c r="F47" s="13">
        <f>F48</f>
        <v>0</v>
      </c>
      <c r="G47" s="13">
        <f t="shared" ref="G47:H47" si="3">G48</f>
        <v>1000</v>
      </c>
      <c r="H47" s="13">
        <f t="shared" si="3"/>
        <v>1000</v>
      </c>
    </row>
    <row r="48" spans="1:8" x14ac:dyDescent="0.2">
      <c r="A48" s="25" t="s">
        <v>29</v>
      </c>
      <c r="B48" s="26" t="s">
        <v>13</v>
      </c>
      <c r="C48" s="26" t="s">
        <v>26</v>
      </c>
      <c r="D48" s="26" t="s">
        <v>56</v>
      </c>
      <c r="E48" s="26" t="s">
        <v>28</v>
      </c>
      <c r="F48" s="17">
        <v>0</v>
      </c>
      <c r="G48" s="17">
        <v>1000</v>
      </c>
      <c r="H48" s="17">
        <v>1000</v>
      </c>
    </row>
    <row r="49" spans="1:8" x14ac:dyDescent="0.2">
      <c r="A49" s="7" t="s">
        <v>31</v>
      </c>
      <c r="B49" s="5" t="s">
        <v>13</v>
      </c>
      <c r="C49" s="5" t="s">
        <v>30</v>
      </c>
      <c r="D49" s="5" t="s">
        <v>12</v>
      </c>
      <c r="E49" s="5" t="s">
        <v>12</v>
      </c>
      <c r="F49" s="8">
        <f>+F50</f>
        <v>8325.01</v>
      </c>
      <c r="G49" s="8">
        <f>+G50</f>
        <v>400</v>
      </c>
      <c r="H49" s="8">
        <f>+H50</f>
        <v>400</v>
      </c>
    </row>
    <row r="50" spans="1:8" x14ac:dyDescent="0.2">
      <c r="A50" s="7" t="s">
        <v>25</v>
      </c>
      <c r="B50" s="5" t="s">
        <v>13</v>
      </c>
      <c r="C50" s="5" t="s">
        <v>30</v>
      </c>
      <c r="D50" s="5" t="s">
        <v>55</v>
      </c>
      <c r="E50" s="5" t="s">
        <v>12</v>
      </c>
      <c r="F50" s="8">
        <f>SUM(F51:F53)</f>
        <v>8325.01</v>
      </c>
      <c r="G50" s="8">
        <f t="shared" ref="G50:H50" si="4">SUM(G51:G53)</f>
        <v>400</v>
      </c>
      <c r="H50" s="8">
        <f t="shared" si="4"/>
        <v>400</v>
      </c>
    </row>
    <row r="51" spans="1:8" ht="33.75" x14ac:dyDescent="0.2">
      <c r="A51" s="18" t="s">
        <v>24</v>
      </c>
      <c r="B51" s="16" t="s">
        <v>13</v>
      </c>
      <c r="C51" s="16" t="s">
        <v>30</v>
      </c>
      <c r="D51" s="16" t="s">
        <v>74</v>
      </c>
      <c r="E51" s="16" t="s">
        <v>23</v>
      </c>
      <c r="F51" s="19">
        <v>350</v>
      </c>
      <c r="G51" s="19">
        <v>400</v>
      </c>
      <c r="H51" s="19">
        <v>400</v>
      </c>
    </row>
    <row r="52" spans="1:8" ht="33.75" x14ac:dyDescent="0.2">
      <c r="A52" s="18" t="s">
        <v>24</v>
      </c>
      <c r="B52" s="16" t="s">
        <v>13</v>
      </c>
      <c r="C52" s="16" t="s">
        <v>30</v>
      </c>
      <c r="D52" s="16" t="s">
        <v>420</v>
      </c>
      <c r="E52" s="16" t="s">
        <v>69</v>
      </c>
      <c r="F52" s="22">
        <v>10</v>
      </c>
      <c r="G52" s="22">
        <v>0</v>
      </c>
      <c r="H52" s="22">
        <v>0</v>
      </c>
    </row>
    <row r="53" spans="1:8" ht="33.75" x14ac:dyDescent="0.2">
      <c r="A53" s="18" t="s">
        <v>24</v>
      </c>
      <c r="B53" s="16" t="s">
        <v>13</v>
      </c>
      <c r="C53" s="16" t="s">
        <v>30</v>
      </c>
      <c r="D53" s="16" t="s">
        <v>420</v>
      </c>
      <c r="E53" s="16" t="s">
        <v>421</v>
      </c>
      <c r="F53" s="22">
        <v>7965.01</v>
      </c>
      <c r="G53" s="22">
        <v>0</v>
      </c>
      <c r="H53" s="22">
        <v>0</v>
      </c>
    </row>
    <row r="54" spans="1:8" x14ac:dyDescent="0.2">
      <c r="A54" s="7" t="s">
        <v>71</v>
      </c>
      <c r="B54" s="5" t="s">
        <v>13</v>
      </c>
      <c r="C54" s="5" t="s">
        <v>72</v>
      </c>
      <c r="D54" s="5" t="s">
        <v>55</v>
      </c>
      <c r="E54" s="5"/>
      <c r="F54" s="24">
        <f t="shared" ref="F54:H54" si="5">F55</f>
        <v>297.39999999999998</v>
      </c>
      <c r="G54" s="24">
        <f t="shared" si="5"/>
        <v>297.39999999999998</v>
      </c>
      <c r="H54" s="24">
        <f t="shared" si="5"/>
        <v>297.39999999999998</v>
      </c>
    </row>
    <row r="55" spans="1:8" x14ac:dyDescent="0.2">
      <c r="A55" s="27" t="s">
        <v>25</v>
      </c>
      <c r="B55" s="28" t="s">
        <v>13</v>
      </c>
      <c r="C55" s="28" t="s">
        <v>72</v>
      </c>
      <c r="D55" s="28" t="s">
        <v>73</v>
      </c>
      <c r="E55" s="28"/>
      <c r="F55" s="29">
        <f>F56+F57</f>
        <v>297.39999999999998</v>
      </c>
      <c r="G55" s="29">
        <f>G56+G57</f>
        <v>297.39999999999998</v>
      </c>
      <c r="H55" s="29">
        <f>H56+H57</f>
        <v>297.39999999999998</v>
      </c>
    </row>
    <row r="56" spans="1:8" ht="22.5" x14ac:dyDescent="0.2">
      <c r="A56" s="18" t="s">
        <v>59</v>
      </c>
      <c r="B56" s="16" t="s">
        <v>13</v>
      </c>
      <c r="C56" s="16" t="s">
        <v>72</v>
      </c>
      <c r="D56" s="16" t="s">
        <v>73</v>
      </c>
      <c r="E56" s="16" t="s">
        <v>22</v>
      </c>
      <c r="F56" s="22">
        <v>228.42</v>
      </c>
      <c r="G56" s="22">
        <v>228.42</v>
      </c>
      <c r="H56" s="42">
        <v>228.42</v>
      </c>
    </row>
    <row r="57" spans="1:8" ht="45" x14ac:dyDescent="0.2">
      <c r="A57" s="18" t="s">
        <v>60</v>
      </c>
      <c r="B57" s="16" t="s">
        <v>13</v>
      </c>
      <c r="C57" s="16" t="s">
        <v>72</v>
      </c>
      <c r="D57" s="16" t="s">
        <v>73</v>
      </c>
      <c r="E57" s="16" t="s">
        <v>62</v>
      </c>
      <c r="F57" s="22">
        <v>68.98</v>
      </c>
      <c r="G57" s="22">
        <v>68.98</v>
      </c>
      <c r="H57" s="42">
        <v>68.98</v>
      </c>
    </row>
    <row r="58" spans="1:8" x14ac:dyDescent="0.2">
      <c r="A58" s="7" t="s">
        <v>45</v>
      </c>
      <c r="B58" s="5" t="s">
        <v>13</v>
      </c>
      <c r="C58" s="5" t="s">
        <v>46</v>
      </c>
      <c r="D58" s="5" t="s">
        <v>55</v>
      </c>
      <c r="E58" s="5" t="s">
        <v>12</v>
      </c>
      <c r="F58" s="8">
        <f t="shared" ref="F58:H58" si="6">F59</f>
        <v>587.84</v>
      </c>
      <c r="G58" s="8">
        <f t="shared" si="6"/>
        <v>611.36</v>
      </c>
      <c r="H58" s="8">
        <f t="shared" si="6"/>
        <v>635.80999999999995</v>
      </c>
    </row>
    <row r="59" spans="1:8" x14ac:dyDescent="0.2">
      <c r="A59" s="18" t="s">
        <v>92</v>
      </c>
      <c r="B59" s="16" t="s">
        <v>13</v>
      </c>
      <c r="C59" s="16" t="s">
        <v>40</v>
      </c>
      <c r="D59" s="16" t="s">
        <v>57</v>
      </c>
      <c r="E59" s="16" t="s">
        <v>41</v>
      </c>
      <c r="F59" s="19">
        <v>587.84</v>
      </c>
      <c r="G59" s="19">
        <v>611.36</v>
      </c>
      <c r="H59" s="19">
        <v>635.80999999999995</v>
      </c>
    </row>
    <row r="60" spans="1:8" s="30" customFormat="1" ht="57" thickBot="1" x14ac:dyDescent="0.25">
      <c r="A60" s="497" t="s">
        <v>47</v>
      </c>
      <c r="B60" s="498" t="s">
        <v>13</v>
      </c>
      <c r="C60" s="498"/>
      <c r="D60" s="498" t="s">
        <v>127</v>
      </c>
      <c r="E60" s="498" t="s">
        <v>12</v>
      </c>
      <c r="F60" s="499">
        <f>+F61+F66+F70+F106+F133+F137+F139</f>
        <v>69887.842590000015</v>
      </c>
      <c r="G60" s="499">
        <f>+G61+G66+G70+G106+G133+G137+G139</f>
        <v>35054.642</v>
      </c>
      <c r="H60" s="499">
        <f>+H61+H66+H70+H106+H133+H137+H139</f>
        <v>31334.579999999998</v>
      </c>
    </row>
    <row r="61" spans="1:8" ht="33.75" x14ac:dyDescent="0.2">
      <c r="A61" s="38" t="s">
        <v>345</v>
      </c>
      <c r="B61" s="39" t="s">
        <v>13</v>
      </c>
      <c r="C61" s="39"/>
      <c r="D61" s="39" t="s">
        <v>128</v>
      </c>
      <c r="E61" s="39" t="s">
        <v>23</v>
      </c>
      <c r="F61" s="40">
        <f>SUM(F62:F65)</f>
        <v>1111.9100000000001</v>
      </c>
      <c r="G61" s="40">
        <f t="shared" ref="G61:H61" si="7">SUM(G62:G65)</f>
        <v>305</v>
      </c>
      <c r="H61" s="40">
        <f t="shared" si="7"/>
        <v>305</v>
      </c>
    </row>
    <row r="62" spans="1:8" x14ac:dyDescent="0.2">
      <c r="A62" s="82" t="s">
        <v>93</v>
      </c>
      <c r="B62" s="83" t="s">
        <v>13</v>
      </c>
      <c r="C62" s="83" t="s">
        <v>33</v>
      </c>
      <c r="D62" s="83" t="s">
        <v>115</v>
      </c>
      <c r="E62" s="83" t="s">
        <v>23</v>
      </c>
      <c r="F62" s="81">
        <v>786.26</v>
      </c>
      <c r="G62" s="81">
        <v>300</v>
      </c>
      <c r="H62" s="84">
        <v>300</v>
      </c>
    </row>
    <row r="63" spans="1:8" ht="22.5" x14ac:dyDescent="0.2">
      <c r="A63" s="82" t="s">
        <v>94</v>
      </c>
      <c r="B63" s="83" t="s">
        <v>13</v>
      </c>
      <c r="C63" s="83" t="s">
        <v>33</v>
      </c>
      <c r="D63" s="83" t="s">
        <v>116</v>
      </c>
      <c r="E63" s="83" t="s">
        <v>23</v>
      </c>
      <c r="F63" s="81">
        <v>5</v>
      </c>
      <c r="G63" s="81">
        <v>5</v>
      </c>
      <c r="H63" s="84">
        <v>5</v>
      </c>
    </row>
    <row r="64" spans="1:8" ht="31.5" x14ac:dyDescent="0.2">
      <c r="A64" s="453" t="s">
        <v>409</v>
      </c>
      <c r="B64" s="454" t="s">
        <v>13</v>
      </c>
      <c r="C64" s="454" t="s">
        <v>33</v>
      </c>
      <c r="D64" s="454" t="s">
        <v>408</v>
      </c>
      <c r="E64" s="455" t="s">
        <v>23</v>
      </c>
      <c r="F64" s="456">
        <v>295</v>
      </c>
      <c r="G64" s="456">
        <v>0</v>
      </c>
      <c r="H64" s="457">
        <v>0</v>
      </c>
    </row>
    <row r="65" spans="1:8" ht="42" x14ac:dyDescent="0.2">
      <c r="A65" s="453" t="s">
        <v>410</v>
      </c>
      <c r="B65" s="454" t="s">
        <v>13</v>
      </c>
      <c r="C65" s="454" t="s">
        <v>33</v>
      </c>
      <c r="D65" s="454" t="s">
        <v>408</v>
      </c>
      <c r="E65" s="455" t="s">
        <v>23</v>
      </c>
      <c r="F65" s="456">
        <v>25.65</v>
      </c>
      <c r="G65" s="456">
        <v>0</v>
      </c>
      <c r="H65" s="457">
        <v>0</v>
      </c>
    </row>
    <row r="66" spans="1:8" ht="33.75" x14ac:dyDescent="0.2">
      <c r="A66" s="500" t="s">
        <v>50</v>
      </c>
      <c r="B66" s="23" t="s">
        <v>13</v>
      </c>
      <c r="C66" s="23" t="s">
        <v>48</v>
      </c>
      <c r="D66" s="23" t="s">
        <v>129</v>
      </c>
      <c r="E66" s="23" t="s">
        <v>12</v>
      </c>
      <c r="F66" s="24">
        <f>SUM(F67:F69)</f>
        <v>8.6</v>
      </c>
      <c r="G66" s="24">
        <f t="shared" ref="G66:H66" si="8">SUM(G67:G69)</f>
        <v>270</v>
      </c>
      <c r="H66" s="501">
        <f t="shared" si="8"/>
        <v>270</v>
      </c>
    </row>
    <row r="67" spans="1:8" ht="45" x14ac:dyDescent="0.2">
      <c r="A67" s="82" t="s">
        <v>99</v>
      </c>
      <c r="B67" s="83" t="s">
        <v>13</v>
      </c>
      <c r="C67" s="83" t="s">
        <v>447</v>
      </c>
      <c r="D67" s="83" t="s">
        <v>124</v>
      </c>
      <c r="E67" s="83" t="s">
        <v>23</v>
      </c>
      <c r="F67" s="81">
        <v>0</v>
      </c>
      <c r="G67" s="81">
        <v>60</v>
      </c>
      <c r="H67" s="84">
        <v>60</v>
      </c>
    </row>
    <row r="68" spans="1:8" ht="22.5" x14ac:dyDescent="0.2">
      <c r="A68" s="82" t="s">
        <v>100</v>
      </c>
      <c r="B68" s="83" t="s">
        <v>13</v>
      </c>
      <c r="C68" s="83" t="s">
        <v>91</v>
      </c>
      <c r="D68" s="83" t="s">
        <v>125</v>
      </c>
      <c r="E68" s="83" t="s">
        <v>23</v>
      </c>
      <c r="F68" s="81">
        <v>8.6</v>
      </c>
      <c r="G68" s="81">
        <v>200</v>
      </c>
      <c r="H68" s="84">
        <v>200</v>
      </c>
    </row>
    <row r="69" spans="1:8" ht="13.5" thickBot="1" x14ac:dyDescent="0.25">
      <c r="A69" s="461" t="s">
        <v>101</v>
      </c>
      <c r="B69" s="462" t="s">
        <v>97</v>
      </c>
      <c r="C69" s="463" t="s">
        <v>91</v>
      </c>
      <c r="D69" s="463" t="s">
        <v>126</v>
      </c>
      <c r="E69" s="463" t="s">
        <v>23</v>
      </c>
      <c r="F69" s="464">
        <v>0</v>
      </c>
      <c r="G69" s="464">
        <v>10</v>
      </c>
      <c r="H69" s="465">
        <v>10</v>
      </c>
    </row>
    <row r="70" spans="1:8" ht="46.5" customHeight="1" x14ac:dyDescent="0.2">
      <c r="A70" s="38" t="s">
        <v>44</v>
      </c>
      <c r="B70" s="39" t="s">
        <v>13</v>
      </c>
      <c r="C70" s="39" t="s">
        <v>58</v>
      </c>
      <c r="D70" s="39" t="s">
        <v>130</v>
      </c>
      <c r="E70" s="39" t="s">
        <v>23</v>
      </c>
      <c r="F70" s="502">
        <f>SUM(F71:F105)</f>
        <v>56198.985620000014</v>
      </c>
      <c r="G70" s="502">
        <f>SUM(G71:G105)</f>
        <v>26039.002</v>
      </c>
      <c r="H70" s="502">
        <f>SUM(H71:H105)</f>
        <v>22016.399999999998</v>
      </c>
    </row>
    <row r="71" spans="1:8" s="31" customFormat="1" ht="22.5" x14ac:dyDescent="0.2">
      <c r="A71" s="82" t="s">
        <v>390</v>
      </c>
      <c r="B71" s="83" t="s">
        <v>13</v>
      </c>
      <c r="C71" s="83" t="s">
        <v>34</v>
      </c>
      <c r="D71" s="83" t="s">
        <v>118</v>
      </c>
      <c r="E71" s="83" t="s">
        <v>23</v>
      </c>
      <c r="F71" s="81">
        <v>371</v>
      </c>
      <c r="G71" s="81">
        <v>1142</v>
      </c>
      <c r="H71" s="84">
        <v>1136</v>
      </c>
    </row>
    <row r="72" spans="1:8" s="31" customFormat="1" ht="21" x14ac:dyDescent="0.2">
      <c r="A72" s="453" t="s">
        <v>391</v>
      </c>
      <c r="B72" s="466" t="s">
        <v>13</v>
      </c>
      <c r="C72" s="466" t="s">
        <v>34</v>
      </c>
      <c r="D72" s="467" t="s">
        <v>388</v>
      </c>
      <c r="E72" s="468">
        <v>412</v>
      </c>
      <c r="F72" s="469">
        <v>9183.9549999999999</v>
      </c>
      <c r="G72" s="469">
        <v>0</v>
      </c>
      <c r="H72" s="470">
        <v>2590.34</v>
      </c>
    </row>
    <row r="73" spans="1:8" s="31" customFormat="1" ht="31.5" x14ac:dyDescent="0.2">
      <c r="A73" s="453" t="s">
        <v>392</v>
      </c>
      <c r="B73" s="466" t="s">
        <v>13</v>
      </c>
      <c r="C73" s="466" t="s">
        <v>34</v>
      </c>
      <c r="D73" s="467" t="s">
        <v>388</v>
      </c>
      <c r="E73" s="468">
        <v>412</v>
      </c>
      <c r="F73" s="471">
        <v>92.76</v>
      </c>
      <c r="G73" s="472">
        <v>0</v>
      </c>
      <c r="H73" s="473">
        <v>26.16</v>
      </c>
    </row>
    <row r="74" spans="1:8" ht="22.5" x14ac:dyDescent="0.2">
      <c r="A74" s="82" t="s">
        <v>393</v>
      </c>
      <c r="B74" s="83" t="s">
        <v>13</v>
      </c>
      <c r="C74" s="83" t="s">
        <v>35</v>
      </c>
      <c r="D74" s="83" t="s">
        <v>119</v>
      </c>
      <c r="E74" s="83" t="s">
        <v>23</v>
      </c>
      <c r="F74" s="81">
        <v>4500</v>
      </c>
      <c r="G74" s="81">
        <v>2500</v>
      </c>
      <c r="H74" s="84">
        <v>2500</v>
      </c>
    </row>
    <row r="75" spans="1:8" ht="22.5" x14ac:dyDescent="0.2">
      <c r="A75" s="82" t="s">
        <v>394</v>
      </c>
      <c r="B75" s="83" t="s">
        <v>13</v>
      </c>
      <c r="C75" s="83" t="s">
        <v>35</v>
      </c>
      <c r="D75" s="83" t="s">
        <v>119</v>
      </c>
      <c r="E75" s="83" t="s">
        <v>350</v>
      </c>
      <c r="F75" s="81">
        <v>3500</v>
      </c>
      <c r="G75" s="81">
        <v>2500</v>
      </c>
      <c r="H75" s="84">
        <v>3500</v>
      </c>
    </row>
    <row r="76" spans="1:8" x14ac:dyDescent="0.2">
      <c r="A76" s="474" t="s">
        <v>395</v>
      </c>
      <c r="B76" s="475" t="s">
        <v>13</v>
      </c>
      <c r="C76" s="475" t="s">
        <v>35</v>
      </c>
      <c r="D76" s="475" t="s">
        <v>246</v>
      </c>
      <c r="E76" s="475" t="s">
        <v>69</v>
      </c>
      <c r="F76" s="476">
        <v>20</v>
      </c>
      <c r="G76" s="476">
        <v>0</v>
      </c>
      <c r="H76" s="477">
        <v>0</v>
      </c>
    </row>
    <row r="77" spans="1:8" ht="22.5" x14ac:dyDescent="0.2">
      <c r="A77" s="82" t="s">
        <v>396</v>
      </c>
      <c r="B77" s="83" t="s">
        <v>13</v>
      </c>
      <c r="C77" s="83" t="s">
        <v>35</v>
      </c>
      <c r="D77" s="83" t="s">
        <v>120</v>
      </c>
      <c r="E77" s="83" t="s">
        <v>23</v>
      </c>
      <c r="F77" s="81">
        <v>0</v>
      </c>
      <c r="G77" s="81">
        <v>50</v>
      </c>
      <c r="H77" s="84">
        <v>50</v>
      </c>
    </row>
    <row r="78" spans="1:8" ht="26.25" customHeight="1" x14ac:dyDescent="0.2">
      <c r="A78" s="82" t="s">
        <v>397</v>
      </c>
      <c r="B78" s="83" t="s">
        <v>13</v>
      </c>
      <c r="C78" s="83" t="s">
        <v>35</v>
      </c>
      <c r="D78" s="83" t="s">
        <v>121</v>
      </c>
      <c r="E78" s="83" t="s">
        <v>23</v>
      </c>
      <c r="F78" s="476">
        <f>6108.42+52.19479+680</f>
        <v>6840.6147899999996</v>
      </c>
      <c r="G78" s="476">
        <v>4992.92</v>
      </c>
      <c r="H78" s="477">
        <v>5912.36</v>
      </c>
    </row>
    <row r="79" spans="1:8" ht="26.25" customHeight="1" x14ac:dyDescent="0.2">
      <c r="A79" s="82" t="s">
        <v>397</v>
      </c>
      <c r="B79" s="83" t="s">
        <v>13</v>
      </c>
      <c r="C79" s="83" t="s">
        <v>35</v>
      </c>
      <c r="D79" s="83" t="s">
        <v>121</v>
      </c>
      <c r="E79" s="83" t="s">
        <v>23</v>
      </c>
      <c r="F79" s="476">
        <v>590.45000000000005</v>
      </c>
      <c r="G79" s="476">
        <v>0</v>
      </c>
      <c r="H79" s="477">
        <v>0</v>
      </c>
    </row>
    <row r="80" spans="1:8" x14ac:dyDescent="0.2">
      <c r="A80" s="478" t="s">
        <v>398</v>
      </c>
      <c r="B80" s="455" t="s">
        <v>13</v>
      </c>
      <c r="C80" s="455" t="s">
        <v>35</v>
      </c>
      <c r="D80" s="455" t="s">
        <v>122</v>
      </c>
      <c r="E80" s="455" t="s">
        <v>23</v>
      </c>
      <c r="F80" s="456">
        <v>1059.3</v>
      </c>
      <c r="G80" s="456">
        <v>0</v>
      </c>
      <c r="H80" s="457">
        <v>0</v>
      </c>
    </row>
    <row r="81" spans="1:9" ht="21" x14ac:dyDescent="0.2">
      <c r="A81" s="453" t="s">
        <v>399</v>
      </c>
      <c r="B81" s="454" t="s">
        <v>13</v>
      </c>
      <c r="C81" s="454" t="s">
        <v>35</v>
      </c>
      <c r="D81" s="454" t="s">
        <v>122</v>
      </c>
      <c r="E81" s="454" t="s">
        <v>23</v>
      </c>
      <c r="F81" s="479">
        <v>92.11</v>
      </c>
      <c r="G81" s="479">
        <v>100</v>
      </c>
      <c r="H81" s="480">
        <v>100</v>
      </c>
      <c r="I81" s="32"/>
    </row>
    <row r="82" spans="1:9" ht="21" x14ac:dyDescent="0.2">
      <c r="A82" s="453" t="s">
        <v>400</v>
      </c>
      <c r="B82" s="454" t="s">
        <v>13</v>
      </c>
      <c r="C82" s="454" t="s">
        <v>35</v>
      </c>
      <c r="D82" s="454" t="s">
        <v>349</v>
      </c>
      <c r="E82" s="454" t="s">
        <v>23</v>
      </c>
      <c r="F82" s="479">
        <f>954.6-600.23998</f>
        <v>354.36002000000008</v>
      </c>
      <c r="G82" s="479">
        <v>793.9</v>
      </c>
      <c r="H82" s="480">
        <v>621.6</v>
      </c>
    </row>
    <row r="83" spans="1:9" ht="31.5" x14ac:dyDescent="0.2">
      <c r="A83" s="453" t="s">
        <v>401</v>
      </c>
      <c r="B83" s="454" t="s">
        <v>13</v>
      </c>
      <c r="C83" s="454" t="s">
        <v>35</v>
      </c>
      <c r="D83" s="454" t="s">
        <v>349</v>
      </c>
      <c r="E83" s="454" t="s">
        <v>23</v>
      </c>
      <c r="F83" s="479">
        <f>30.8139</f>
        <v>30.8139</v>
      </c>
      <c r="G83" s="479">
        <v>7.08</v>
      </c>
      <c r="H83" s="480">
        <v>61.48</v>
      </c>
    </row>
    <row r="84" spans="1:9" ht="45" x14ac:dyDescent="0.2">
      <c r="A84" s="82" t="s">
        <v>402</v>
      </c>
      <c r="B84" s="83" t="s">
        <v>13</v>
      </c>
      <c r="C84" s="83" t="s">
        <v>49</v>
      </c>
      <c r="D84" s="83" t="s">
        <v>131</v>
      </c>
      <c r="E84" s="83" t="s">
        <v>23</v>
      </c>
      <c r="F84" s="81">
        <f>3726.34+400</f>
        <v>4126.34</v>
      </c>
      <c r="G84" s="81">
        <v>5091.21</v>
      </c>
      <c r="H84" s="84">
        <v>5418.46</v>
      </c>
    </row>
    <row r="85" spans="1:9" ht="45" x14ac:dyDescent="0.2">
      <c r="A85" s="82" t="s">
        <v>403</v>
      </c>
      <c r="B85" s="83" t="s">
        <v>13</v>
      </c>
      <c r="C85" s="83" t="s">
        <v>49</v>
      </c>
      <c r="D85" s="83" t="s">
        <v>131</v>
      </c>
      <c r="E85" s="83" t="s">
        <v>23</v>
      </c>
      <c r="F85" s="81">
        <f>1544.9</f>
        <v>1544.9</v>
      </c>
      <c r="G85" s="81">
        <v>0</v>
      </c>
      <c r="H85" s="84">
        <v>0</v>
      </c>
    </row>
    <row r="86" spans="1:9" ht="31.5" x14ac:dyDescent="0.2">
      <c r="A86" s="453" t="s">
        <v>404</v>
      </c>
      <c r="B86" s="454" t="s">
        <v>13</v>
      </c>
      <c r="C86" s="454" t="s">
        <v>49</v>
      </c>
      <c r="D86" s="454" t="s">
        <v>132</v>
      </c>
      <c r="E86" s="454" t="s">
        <v>23</v>
      </c>
      <c r="F86" s="479">
        <v>2404</v>
      </c>
      <c r="G86" s="479">
        <f>1411.6</f>
        <v>1411.6</v>
      </c>
      <c r="H86" s="480">
        <v>0</v>
      </c>
    </row>
    <row r="87" spans="1:9" ht="42" x14ac:dyDescent="0.2">
      <c r="A87" s="453" t="s">
        <v>405</v>
      </c>
      <c r="B87" s="454" t="s">
        <v>13</v>
      </c>
      <c r="C87" s="454" t="s">
        <v>49</v>
      </c>
      <c r="D87" s="454" t="s">
        <v>132</v>
      </c>
      <c r="E87" s="454" t="s">
        <v>23</v>
      </c>
      <c r="F87" s="479">
        <v>282.30302999999998</v>
      </c>
      <c r="G87" s="479">
        <v>500</v>
      </c>
      <c r="H87" s="480">
        <v>0</v>
      </c>
    </row>
    <row r="88" spans="1:9" ht="33.75" x14ac:dyDescent="0.2">
      <c r="A88" s="478" t="s">
        <v>436</v>
      </c>
      <c r="B88" s="455" t="s">
        <v>13</v>
      </c>
      <c r="C88" s="455" t="s">
        <v>49</v>
      </c>
      <c r="D88" s="455" t="s">
        <v>422</v>
      </c>
      <c r="E88" s="455" t="s">
        <v>23</v>
      </c>
      <c r="F88" s="456">
        <v>11003.654109999999</v>
      </c>
      <c r="G88" s="456">
        <v>2693.61</v>
      </c>
      <c r="H88" s="457">
        <v>0</v>
      </c>
    </row>
    <row r="89" spans="1:9" ht="33.75" x14ac:dyDescent="0.2">
      <c r="A89" s="478" t="s">
        <v>437</v>
      </c>
      <c r="B89" s="455" t="s">
        <v>13</v>
      </c>
      <c r="C89" s="455" t="s">
        <v>49</v>
      </c>
      <c r="D89" s="455" t="s">
        <v>422</v>
      </c>
      <c r="E89" s="455" t="s">
        <v>23</v>
      </c>
      <c r="F89" s="456">
        <v>956.84</v>
      </c>
      <c r="G89" s="456">
        <v>234.23</v>
      </c>
      <c r="H89" s="457">
        <v>0</v>
      </c>
    </row>
    <row r="90" spans="1:9" x14ac:dyDescent="0.2">
      <c r="A90" s="478" t="s">
        <v>438</v>
      </c>
      <c r="B90" s="455" t="s">
        <v>13</v>
      </c>
      <c r="C90" s="455" t="s">
        <v>49</v>
      </c>
      <c r="D90" s="455" t="s">
        <v>135</v>
      </c>
      <c r="E90" s="455" t="s">
        <v>23</v>
      </c>
      <c r="F90" s="456">
        <v>896.9</v>
      </c>
      <c r="G90" s="456">
        <v>0</v>
      </c>
      <c r="H90" s="457">
        <v>0</v>
      </c>
    </row>
    <row r="91" spans="1:9" ht="21" x14ac:dyDescent="0.2">
      <c r="A91" s="453" t="s">
        <v>423</v>
      </c>
      <c r="B91" s="454" t="s">
        <v>13</v>
      </c>
      <c r="C91" s="454" t="s">
        <v>49</v>
      </c>
      <c r="D91" s="454" t="s">
        <v>135</v>
      </c>
      <c r="E91" s="454" t="s">
        <v>23</v>
      </c>
      <c r="F91" s="479">
        <v>77.989999999999995</v>
      </c>
      <c r="G91" s="456">
        <v>100</v>
      </c>
      <c r="H91" s="457">
        <v>100</v>
      </c>
    </row>
    <row r="92" spans="1:9" ht="22.5" x14ac:dyDescent="0.2">
      <c r="A92" s="478" t="s">
        <v>424</v>
      </c>
      <c r="B92" s="455" t="s">
        <v>13</v>
      </c>
      <c r="C92" s="455" t="s">
        <v>35</v>
      </c>
      <c r="D92" s="455" t="s">
        <v>280</v>
      </c>
      <c r="E92" s="455" t="s">
        <v>23</v>
      </c>
      <c r="F92" s="456">
        <v>1066.29</v>
      </c>
      <c r="G92" s="456">
        <v>0</v>
      </c>
      <c r="H92" s="457">
        <v>0</v>
      </c>
    </row>
    <row r="93" spans="1:9" ht="21" x14ac:dyDescent="0.2">
      <c r="A93" s="453" t="s">
        <v>425</v>
      </c>
      <c r="B93" s="454" t="s">
        <v>13</v>
      </c>
      <c r="C93" s="454" t="s">
        <v>35</v>
      </c>
      <c r="D93" s="455" t="s">
        <v>280</v>
      </c>
      <c r="E93" s="455" t="s">
        <v>23</v>
      </c>
      <c r="F93" s="479">
        <v>525.19000000000005</v>
      </c>
      <c r="G93" s="456">
        <v>0</v>
      </c>
      <c r="H93" s="457">
        <v>0</v>
      </c>
    </row>
    <row r="94" spans="1:9" ht="31.5" x14ac:dyDescent="0.2">
      <c r="A94" s="453" t="s">
        <v>426</v>
      </c>
      <c r="B94" s="454" t="s">
        <v>13</v>
      </c>
      <c r="C94" s="454" t="s">
        <v>35</v>
      </c>
      <c r="D94" s="455" t="s">
        <v>280</v>
      </c>
      <c r="E94" s="455" t="s">
        <v>23</v>
      </c>
      <c r="F94" s="479">
        <v>682.06</v>
      </c>
      <c r="G94" s="456">
        <v>0</v>
      </c>
      <c r="H94" s="457">
        <v>0</v>
      </c>
    </row>
    <row r="95" spans="1:9" ht="31.5" x14ac:dyDescent="0.2">
      <c r="A95" s="453" t="s">
        <v>427</v>
      </c>
      <c r="B95" s="454" t="s">
        <v>13</v>
      </c>
      <c r="C95" s="454" t="s">
        <v>35</v>
      </c>
      <c r="D95" s="455" t="s">
        <v>280</v>
      </c>
      <c r="E95" s="455" t="s">
        <v>23</v>
      </c>
      <c r="F95" s="479">
        <v>0</v>
      </c>
      <c r="G95" s="456">
        <v>0</v>
      </c>
      <c r="H95" s="457">
        <v>0</v>
      </c>
    </row>
    <row r="96" spans="1:9" ht="21" x14ac:dyDescent="0.2">
      <c r="A96" s="453" t="s">
        <v>428</v>
      </c>
      <c r="B96" s="454" t="s">
        <v>13</v>
      </c>
      <c r="C96" s="454" t="s">
        <v>35</v>
      </c>
      <c r="D96" s="455" t="s">
        <v>439</v>
      </c>
      <c r="E96" s="455" t="s">
        <v>23</v>
      </c>
      <c r="F96" s="479">
        <v>77.128900000000002</v>
      </c>
      <c r="G96" s="456">
        <v>0</v>
      </c>
      <c r="H96" s="457">
        <v>0</v>
      </c>
    </row>
    <row r="97" spans="1:8" ht="31.5" x14ac:dyDescent="0.2">
      <c r="A97" s="453" t="s">
        <v>429</v>
      </c>
      <c r="B97" s="454" t="s">
        <v>13</v>
      </c>
      <c r="C97" s="454" t="s">
        <v>35</v>
      </c>
      <c r="D97" s="455" t="s">
        <v>439</v>
      </c>
      <c r="E97" s="455" t="s">
        <v>23</v>
      </c>
      <c r="F97" s="479">
        <v>33.054900000000004</v>
      </c>
      <c r="G97" s="456">
        <v>0</v>
      </c>
      <c r="H97" s="457">
        <v>0</v>
      </c>
    </row>
    <row r="98" spans="1:8" ht="33.75" x14ac:dyDescent="0.2">
      <c r="A98" s="478" t="s">
        <v>430</v>
      </c>
      <c r="B98" s="455" t="s">
        <v>13</v>
      </c>
      <c r="C98" s="455" t="s">
        <v>35</v>
      </c>
      <c r="D98" s="455" t="s">
        <v>348</v>
      </c>
      <c r="E98" s="455" t="s">
        <v>23</v>
      </c>
      <c r="F98" s="456">
        <v>1500</v>
      </c>
      <c r="G98" s="456">
        <v>0</v>
      </c>
      <c r="H98" s="457">
        <v>0</v>
      </c>
    </row>
    <row r="99" spans="1:8" ht="31.5" x14ac:dyDescent="0.2">
      <c r="A99" s="453" t="s">
        <v>431</v>
      </c>
      <c r="B99" s="454" t="s">
        <v>13</v>
      </c>
      <c r="C99" s="454" t="s">
        <v>35</v>
      </c>
      <c r="D99" s="454" t="s">
        <v>348</v>
      </c>
      <c r="E99" s="454" t="s">
        <v>23</v>
      </c>
      <c r="F99" s="479">
        <v>78.947370000000006</v>
      </c>
      <c r="G99" s="479">
        <v>0</v>
      </c>
      <c r="H99" s="480">
        <v>0</v>
      </c>
    </row>
    <row r="100" spans="1:8" ht="33.75" x14ac:dyDescent="0.2">
      <c r="A100" s="478" t="s">
        <v>432</v>
      </c>
      <c r="B100" s="455" t="s">
        <v>13</v>
      </c>
      <c r="C100" s="455" t="s">
        <v>35</v>
      </c>
      <c r="D100" s="455" t="s">
        <v>157</v>
      </c>
      <c r="E100" s="455" t="s">
        <v>23</v>
      </c>
      <c r="F100" s="456">
        <v>1899.4</v>
      </c>
      <c r="G100" s="456">
        <v>1899.4</v>
      </c>
      <c r="H100" s="457">
        <v>0</v>
      </c>
    </row>
    <row r="101" spans="1:8" ht="31.5" x14ac:dyDescent="0.2">
      <c r="A101" s="453" t="s">
        <v>433</v>
      </c>
      <c r="B101" s="454" t="s">
        <v>13</v>
      </c>
      <c r="C101" s="454" t="s">
        <v>35</v>
      </c>
      <c r="D101" s="454" t="s">
        <v>157</v>
      </c>
      <c r="E101" s="454" t="s">
        <v>23</v>
      </c>
      <c r="F101" s="479">
        <v>165.20359999999999</v>
      </c>
      <c r="G101" s="479">
        <v>165.2</v>
      </c>
      <c r="H101" s="84">
        <v>0</v>
      </c>
    </row>
    <row r="102" spans="1:8" ht="31.5" x14ac:dyDescent="0.2">
      <c r="A102" s="453" t="s">
        <v>432</v>
      </c>
      <c r="B102" s="454" t="s">
        <v>13</v>
      </c>
      <c r="C102" s="454" t="s">
        <v>35</v>
      </c>
      <c r="D102" s="454" t="s">
        <v>448</v>
      </c>
      <c r="E102" s="454" t="s">
        <v>23</v>
      </c>
      <c r="F102" s="479">
        <v>2063.9</v>
      </c>
      <c r="G102" s="479">
        <v>0</v>
      </c>
      <c r="H102" s="84">
        <v>0</v>
      </c>
    </row>
    <row r="103" spans="1:8" ht="31.5" x14ac:dyDescent="0.2">
      <c r="A103" s="453" t="s">
        <v>449</v>
      </c>
      <c r="B103" s="454" t="s">
        <v>13</v>
      </c>
      <c r="C103" s="454" t="s">
        <v>35</v>
      </c>
      <c r="D103" s="454" t="s">
        <v>448</v>
      </c>
      <c r="E103" s="454" t="s">
        <v>23</v>
      </c>
      <c r="F103" s="479">
        <v>179.52</v>
      </c>
      <c r="G103" s="479">
        <v>0</v>
      </c>
      <c r="H103" s="84">
        <v>0</v>
      </c>
    </row>
    <row r="104" spans="1:8" ht="22.5" x14ac:dyDescent="0.2">
      <c r="A104" s="478" t="s">
        <v>434</v>
      </c>
      <c r="B104" s="455" t="s">
        <v>13</v>
      </c>
      <c r="C104" s="455" t="s">
        <v>137</v>
      </c>
      <c r="D104" s="455" t="s">
        <v>154</v>
      </c>
      <c r="E104" s="455" t="s">
        <v>155</v>
      </c>
      <c r="F104" s="456">
        <v>0</v>
      </c>
      <c r="G104" s="456">
        <v>1709.2238400000001</v>
      </c>
      <c r="H104" s="457">
        <v>0</v>
      </c>
    </row>
    <row r="105" spans="1:8" ht="21.75" thickBot="1" x14ac:dyDescent="0.25">
      <c r="A105" s="481" t="s">
        <v>435</v>
      </c>
      <c r="B105" s="482" t="s">
        <v>13</v>
      </c>
      <c r="C105" s="482" t="s">
        <v>137</v>
      </c>
      <c r="D105" s="482" t="s">
        <v>154</v>
      </c>
      <c r="E105" s="482" t="s">
        <v>155</v>
      </c>
      <c r="F105" s="483">
        <v>0</v>
      </c>
      <c r="G105" s="483">
        <v>148.62816000000001</v>
      </c>
      <c r="H105" s="484">
        <v>0</v>
      </c>
    </row>
    <row r="106" spans="1:8" ht="45" x14ac:dyDescent="0.2">
      <c r="A106" s="500" t="s">
        <v>77</v>
      </c>
      <c r="B106" s="23" t="s">
        <v>13</v>
      </c>
      <c r="C106" s="23" t="s">
        <v>37</v>
      </c>
      <c r="D106" s="23" t="s">
        <v>146</v>
      </c>
      <c r="E106" s="23" t="s">
        <v>12</v>
      </c>
      <c r="F106" s="24">
        <f>F107+F117+F123+F124+F131+F128</f>
        <v>12116.99</v>
      </c>
      <c r="G106" s="24">
        <f>G107+G117+G123+G124+G131</f>
        <v>7930.64</v>
      </c>
      <c r="H106" s="501">
        <f>H107+H117+H123+H124+H131</f>
        <v>8233.18</v>
      </c>
    </row>
    <row r="107" spans="1:8" ht="27" customHeight="1" x14ac:dyDescent="0.2">
      <c r="A107" s="478" t="s">
        <v>76</v>
      </c>
      <c r="B107" s="455" t="s">
        <v>13</v>
      </c>
      <c r="C107" s="455" t="s">
        <v>38</v>
      </c>
      <c r="D107" s="455" t="s">
        <v>138</v>
      </c>
      <c r="E107" s="455"/>
      <c r="F107" s="456">
        <f>SUM(F108:F116)</f>
        <v>5787.2520000000004</v>
      </c>
      <c r="G107" s="456">
        <f t="shared" ref="G107:H107" si="9">SUM(G108:G114)</f>
        <v>5406.6</v>
      </c>
      <c r="H107" s="456">
        <f t="shared" si="9"/>
        <v>5669.2199999999993</v>
      </c>
    </row>
    <row r="108" spans="1:8" ht="14.45" customHeight="1" x14ac:dyDescent="0.2">
      <c r="A108" s="82" t="s">
        <v>136</v>
      </c>
      <c r="B108" s="83" t="s">
        <v>13</v>
      </c>
      <c r="C108" s="83" t="s">
        <v>137</v>
      </c>
      <c r="D108" s="83" t="s">
        <v>138</v>
      </c>
      <c r="E108" s="83" t="s">
        <v>39</v>
      </c>
      <c r="F108" s="81">
        <v>0.05</v>
      </c>
      <c r="G108" s="81">
        <v>0.6</v>
      </c>
      <c r="H108" s="84">
        <v>0.6</v>
      </c>
    </row>
    <row r="109" spans="1:8" ht="15.75" customHeight="1" x14ac:dyDescent="0.2">
      <c r="A109" s="82" t="s">
        <v>139</v>
      </c>
      <c r="B109" s="83" t="s">
        <v>13</v>
      </c>
      <c r="C109" s="83" t="s">
        <v>38</v>
      </c>
      <c r="D109" s="83" t="s">
        <v>138</v>
      </c>
      <c r="E109" s="83" t="s">
        <v>39</v>
      </c>
      <c r="F109" s="81">
        <v>3055.45</v>
      </c>
      <c r="G109" s="81">
        <v>3120</v>
      </c>
      <c r="H109" s="84">
        <v>3244.8</v>
      </c>
    </row>
    <row r="110" spans="1:8" ht="45" x14ac:dyDescent="0.2">
      <c r="A110" s="82" t="s">
        <v>140</v>
      </c>
      <c r="B110" s="83" t="s">
        <v>13</v>
      </c>
      <c r="C110" s="83" t="s">
        <v>38</v>
      </c>
      <c r="D110" s="83" t="s">
        <v>138</v>
      </c>
      <c r="E110" s="83" t="s">
        <v>61</v>
      </c>
      <c r="F110" s="81">
        <v>922.75</v>
      </c>
      <c r="G110" s="81">
        <v>943</v>
      </c>
      <c r="H110" s="84">
        <v>980</v>
      </c>
    </row>
    <row r="111" spans="1:8" ht="22.5" x14ac:dyDescent="0.2">
      <c r="A111" s="82" t="s">
        <v>141</v>
      </c>
      <c r="B111" s="83" t="s">
        <v>13</v>
      </c>
      <c r="C111" s="83" t="s">
        <v>38</v>
      </c>
      <c r="D111" s="83" t="s">
        <v>138</v>
      </c>
      <c r="E111" s="83" t="s">
        <v>67</v>
      </c>
      <c r="F111" s="81">
        <f>112+20</f>
        <v>132</v>
      </c>
      <c r="G111" s="81">
        <v>30</v>
      </c>
      <c r="H111" s="84">
        <v>30.82</v>
      </c>
    </row>
    <row r="112" spans="1:8" ht="22.5" x14ac:dyDescent="0.2">
      <c r="A112" s="82" t="s">
        <v>142</v>
      </c>
      <c r="B112" s="83" t="s">
        <v>13</v>
      </c>
      <c r="C112" s="83" t="s">
        <v>38</v>
      </c>
      <c r="D112" s="83" t="s">
        <v>138</v>
      </c>
      <c r="E112" s="83" t="s">
        <v>70</v>
      </c>
      <c r="F112" s="81">
        <v>13</v>
      </c>
      <c r="G112" s="81">
        <v>13</v>
      </c>
      <c r="H112" s="84">
        <v>13</v>
      </c>
    </row>
    <row r="113" spans="1:8" ht="33.75" x14ac:dyDescent="0.2">
      <c r="A113" s="82" t="s">
        <v>143</v>
      </c>
      <c r="B113" s="83" t="s">
        <v>13</v>
      </c>
      <c r="C113" s="83" t="s">
        <v>38</v>
      </c>
      <c r="D113" s="83" t="s">
        <v>138</v>
      </c>
      <c r="E113" s="83" t="s">
        <v>23</v>
      </c>
      <c r="F113" s="476">
        <f>1271+45+140</f>
        <v>1456</v>
      </c>
      <c r="G113" s="476">
        <v>1110</v>
      </c>
      <c r="H113" s="477">
        <v>1210</v>
      </c>
    </row>
    <row r="114" spans="1:8" ht="33.75" x14ac:dyDescent="0.2">
      <c r="A114" s="82" t="s">
        <v>351</v>
      </c>
      <c r="B114" s="83" t="s">
        <v>13</v>
      </c>
      <c r="C114" s="83" t="s">
        <v>38</v>
      </c>
      <c r="D114" s="83" t="s">
        <v>138</v>
      </c>
      <c r="E114" s="83" t="s">
        <v>350</v>
      </c>
      <c r="F114" s="476">
        <v>190</v>
      </c>
      <c r="G114" s="476">
        <v>190</v>
      </c>
      <c r="H114" s="477">
        <v>190</v>
      </c>
    </row>
    <row r="115" spans="1:8" x14ac:dyDescent="0.2">
      <c r="A115" s="485" t="s">
        <v>389</v>
      </c>
      <c r="B115" s="475" t="s">
        <v>13</v>
      </c>
      <c r="C115" s="475" t="s">
        <v>38</v>
      </c>
      <c r="D115" s="475" t="s">
        <v>251</v>
      </c>
      <c r="E115" s="475" t="s">
        <v>68</v>
      </c>
      <c r="F115" s="476">
        <v>2</v>
      </c>
      <c r="G115" s="476">
        <v>0</v>
      </c>
      <c r="H115" s="476">
        <v>0</v>
      </c>
    </row>
    <row r="116" spans="1:8" x14ac:dyDescent="0.2">
      <c r="A116" s="485" t="s">
        <v>419</v>
      </c>
      <c r="B116" s="475" t="s">
        <v>13</v>
      </c>
      <c r="C116" s="475" t="s">
        <v>38</v>
      </c>
      <c r="D116" s="475" t="s">
        <v>251</v>
      </c>
      <c r="E116" s="475" t="s">
        <v>69</v>
      </c>
      <c r="F116" s="476">
        <v>16.001999999999999</v>
      </c>
      <c r="G116" s="476">
        <v>0</v>
      </c>
      <c r="H116" s="476">
        <v>0</v>
      </c>
    </row>
    <row r="117" spans="1:8" ht="22.5" x14ac:dyDescent="0.2">
      <c r="A117" s="486" t="s">
        <v>352</v>
      </c>
      <c r="B117" s="458" t="s">
        <v>13</v>
      </c>
      <c r="C117" s="458" t="s">
        <v>38</v>
      </c>
      <c r="D117" s="458" t="s">
        <v>144</v>
      </c>
      <c r="E117" s="458"/>
      <c r="F117" s="459">
        <f>SUM(F118:F122)</f>
        <v>1122.54</v>
      </c>
      <c r="G117" s="459">
        <f>SUM(G118:G122)</f>
        <v>1224.04</v>
      </c>
      <c r="H117" s="460">
        <f>SUM(H118:H122)</f>
        <v>1263.96</v>
      </c>
    </row>
    <row r="118" spans="1:8" ht="22.5" customHeight="1" x14ac:dyDescent="0.2">
      <c r="A118" s="487" t="s">
        <v>353</v>
      </c>
      <c r="B118" s="83" t="s">
        <v>13</v>
      </c>
      <c r="C118" s="83" t="s">
        <v>38</v>
      </c>
      <c r="D118" s="83" t="s">
        <v>144</v>
      </c>
      <c r="E118" s="83" t="s">
        <v>39</v>
      </c>
      <c r="F118" s="81">
        <f>766.54-100</f>
        <v>666.54</v>
      </c>
      <c r="G118" s="81">
        <v>766.54</v>
      </c>
      <c r="H118" s="84">
        <v>797.2</v>
      </c>
    </row>
    <row r="119" spans="1:8" ht="45" x14ac:dyDescent="0.2">
      <c r="A119" s="82" t="s">
        <v>354</v>
      </c>
      <c r="B119" s="83" t="s">
        <v>13</v>
      </c>
      <c r="C119" s="83" t="s">
        <v>38</v>
      </c>
      <c r="D119" s="83" t="s">
        <v>144</v>
      </c>
      <c r="E119" s="83" t="s">
        <v>61</v>
      </c>
      <c r="F119" s="81">
        <f>232-50</f>
        <v>182</v>
      </c>
      <c r="G119" s="81">
        <v>231.5</v>
      </c>
      <c r="H119" s="84">
        <v>240.76</v>
      </c>
    </row>
    <row r="120" spans="1:8" ht="33.75" x14ac:dyDescent="0.2">
      <c r="A120" s="82" t="s">
        <v>355</v>
      </c>
      <c r="B120" s="83" t="s">
        <v>13</v>
      </c>
      <c r="C120" s="83" t="s">
        <v>38</v>
      </c>
      <c r="D120" s="83" t="s">
        <v>144</v>
      </c>
      <c r="E120" s="83" t="s">
        <v>23</v>
      </c>
      <c r="F120" s="81">
        <f>328-100</f>
        <v>228</v>
      </c>
      <c r="G120" s="81">
        <v>180</v>
      </c>
      <c r="H120" s="84">
        <v>180</v>
      </c>
    </row>
    <row r="121" spans="1:8" ht="33.75" x14ac:dyDescent="0.2">
      <c r="A121" s="82" t="s">
        <v>359</v>
      </c>
      <c r="B121" s="83" t="s">
        <v>13</v>
      </c>
      <c r="C121" s="83" t="s">
        <v>38</v>
      </c>
      <c r="D121" s="83" t="s">
        <v>144</v>
      </c>
      <c r="E121" s="83" t="s">
        <v>350</v>
      </c>
      <c r="F121" s="81">
        <v>36</v>
      </c>
      <c r="G121" s="81">
        <v>36</v>
      </c>
      <c r="H121" s="84">
        <v>36</v>
      </c>
    </row>
    <row r="122" spans="1:8" ht="22.5" x14ac:dyDescent="0.2">
      <c r="A122" s="82" t="s">
        <v>360</v>
      </c>
      <c r="B122" s="83" t="s">
        <v>13</v>
      </c>
      <c r="C122" s="83" t="s">
        <v>38</v>
      </c>
      <c r="D122" s="83" t="s">
        <v>144</v>
      </c>
      <c r="E122" s="83" t="s">
        <v>70</v>
      </c>
      <c r="F122" s="81">
        <v>10</v>
      </c>
      <c r="G122" s="81">
        <v>10</v>
      </c>
      <c r="H122" s="84">
        <v>10</v>
      </c>
    </row>
    <row r="123" spans="1:8" ht="33.75" x14ac:dyDescent="0.2">
      <c r="A123" s="478" t="s">
        <v>361</v>
      </c>
      <c r="B123" s="455" t="s">
        <v>13</v>
      </c>
      <c r="C123" s="455" t="s">
        <v>38</v>
      </c>
      <c r="D123" s="455" t="s">
        <v>145</v>
      </c>
      <c r="E123" s="455" t="s">
        <v>23</v>
      </c>
      <c r="F123" s="456">
        <f>1082+26-143.202+34</f>
        <v>998.798</v>
      </c>
      <c r="G123" s="456">
        <v>300</v>
      </c>
      <c r="H123" s="457">
        <v>300</v>
      </c>
    </row>
    <row r="124" spans="1:8" ht="22.5" x14ac:dyDescent="0.2">
      <c r="A124" s="488" t="s">
        <v>362</v>
      </c>
      <c r="B124" s="489" t="s">
        <v>13</v>
      </c>
      <c r="C124" s="489" t="s">
        <v>38</v>
      </c>
      <c r="D124" s="489" t="s">
        <v>147</v>
      </c>
      <c r="E124" s="489" t="s">
        <v>12</v>
      </c>
      <c r="F124" s="490">
        <f>+F125</f>
        <v>1444.5</v>
      </c>
      <c r="G124" s="490">
        <f>+G125</f>
        <v>0</v>
      </c>
      <c r="H124" s="491">
        <f>+H125</f>
        <v>0</v>
      </c>
    </row>
    <row r="125" spans="1:8" ht="22.5" x14ac:dyDescent="0.2">
      <c r="A125" s="488" t="s">
        <v>363</v>
      </c>
      <c r="B125" s="489" t="s">
        <v>13</v>
      </c>
      <c r="C125" s="489" t="s">
        <v>38</v>
      </c>
      <c r="D125" s="489" t="s">
        <v>147</v>
      </c>
      <c r="E125" s="489" t="s">
        <v>12</v>
      </c>
      <c r="F125" s="490">
        <f>SUM(F126+F127)</f>
        <v>1444.5</v>
      </c>
      <c r="G125" s="490">
        <f t="shared" ref="G125:H125" si="10">SUM(G126+G127)</f>
        <v>0</v>
      </c>
      <c r="H125" s="491">
        <f t="shared" si="10"/>
        <v>0</v>
      </c>
    </row>
    <row r="126" spans="1:8" x14ac:dyDescent="0.2">
      <c r="A126" s="474" t="s">
        <v>222</v>
      </c>
      <c r="B126" s="475" t="s">
        <v>13</v>
      </c>
      <c r="C126" s="475" t="s">
        <v>38</v>
      </c>
      <c r="D126" s="475" t="s">
        <v>148</v>
      </c>
      <c r="E126" s="475" t="s">
        <v>39</v>
      </c>
      <c r="F126" s="476">
        <f>1164.9-55.453</f>
        <v>1109.4470000000001</v>
      </c>
      <c r="G126" s="476">
        <v>0</v>
      </c>
      <c r="H126" s="477">
        <v>0</v>
      </c>
    </row>
    <row r="127" spans="1:8" ht="33.75" x14ac:dyDescent="0.2">
      <c r="A127" s="474" t="s">
        <v>223</v>
      </c>
      <c r="B127" s="475" t="s">
        <v>13</v>
      </c>
      <c r="C127" s="475" t="s">
        <v>38</v>
      </c>
      <c r="D127" s="475" t="s">
        <v>148</v>
      </c>
      <c r="E127" s="475" t="s">
        <v>61</v>
      </c>
      <c r="F127" s="476">
        <f>351.8-16.747</f>
        <v>335.053</v>
      </c>
      <c r="G127" s="476">
        <v>0</v>
      </c>
      <c r="H127" s="477">
        <v>0</v>
      </c>
    </row>
    <row r="128" spans="1:8" ht="22.5" x14ac:dyDescent="0.2">
      <c r="A128" s="488" t="s">
        <v>224</v>
      </c>
      <c r="B128" s="489" t="s">
        <v>13</v>
      </c>
      <c r="C128" s="489" t="s">
        <v>38</v>
      </c>
      <c r="D128" s="489" t="s">
        <v>147</v>
      </c>
      <c r="E128" s="489"/>
      <c r="F128" s="490">
        <f>F129+F130</f>
        <v>1444.5</v>
      </c>
      <c r="G128" s="490">
        <f t="shared" ref="G128:H128" si="11">G129+G130</f>
        <v>0</v>
      </c>
      <c r="H128" s="490">
        <f t="shared" si="11"/>
        <v>0</v>
      </c>
    </row>
    <row r="129" spans="1:8" x14ac:dyDescent="0.2">
      <c r="A129" s="474" t="s">
        <v>364</v>
      </c>
      <c r="B129" s="475" t="s">
        <v>13</v>
      </c>
      <c r="C129" s="475" t="s">
        <v>38</v>
      </c>
      <c r="D129" s="475" t="s">
        <v>148</v>
      </c>
      <c r="E129" s="475" t="s">
        <v>39</v>
      </c>
      <c r="F129" s="476">
        <f>1164.9-55.453</f>
        <v>1109.4470000000001</v>
      </c>
      <c r="G129" s="476">
        <v>0</v>
      </c>
      <c r="H129" s="477">
        <v>0</v>
      </c>
    </row>
    <row r="130" spans="1:8" ht="33.75" x14ac:dyDescent="0.2">
      <c r="A130" s="474" t="s">
        <v>356</v>
      </c>
      <c r="B130" s="475" t="s">
        <v>13</v>
      </c>
      <c r="C130" s="475" t="s">
        <v>38</v>
      </c>
      <c r="D130" s="475" t="s">
        <v>148</v>
      </c>
      <c r="E130" s="475" t="s">
        <v>61</v>
      </c>
      <c r="F130" s="476">
        <f>351.8-16.747</f>
        <v>335.053</v>
      </c>
      <c r="G130" s="476">
        <v>0</v>
      </c>
      <c r="H130" s="477">
        <v>0</v>
      </c>
    </row>
    <row r="131" spans="1:8" x14ac:dyDescent="0.2">
      <c r="A131" s="478" t="s">
        <v>357</v>
      </c>
      <c r="B131" s="455" t="s">
        <v>13</v>
      </c>
      <c r="C131" s="455" t="s">
        <v>96</v>
      </c>
      <c r="D131" s="455" t="s">
        <v>149</v>
      </c>
      <c r="E131" s="492"/>
      <c r="F131" s="493">
        <f>F132</f>
        <v>1319.4</v>
      </c>
      <c r="G131" s="493">
        <f t="shared" ref="G131:H131" si="12">G132</f>
        <v>1000</v>
      </c>
      <c r="H131" s="494">
        <f t="shared" si="12"/>
        <v>1000</v>
      </c>
    </row>
    <row r="132" spans="1:8" ht="23.25" thickBot="1" x14ac:dyDescent="0.25">
      <c r="A132" s="495" t="s">
        <v>358</v>
      </c>
      <c r="B132" s="482" t="s">
        <v>13</v>
      </c>
      <c r="C132" s="482" t="s">
        <v>96</v>
      </c>
      <c r="D132" s="482" t="s">
        <v>149</v>
      </c>
      <c r="E132" s="482" t="s">
        <v>23</v>
      </c>
      <c r="F132" s="483">
        <v>1319.4</v>
      </c>
      <c r="G132" s="483">
        <v>1000</v>
      </c>
      <c r="H132" s="484">
        <v>1000</v>
      </c>
    </row>
    <row r="133" spans="1:8" ht="33.75" x14ac:dyDescent="0.2">
      <c r="A133" s="38" t="s">
        <v>79</v>
      </c>
      <c r="B133" s="39" t="s">
        <v>13</v>
      </c>
      <c r="C133" s="39" t="s">
        <v>78</v>
      </c>
      <c r="D133" s="39" t="s">
        <v>150</v>
      </c>
      <c r="E133" s="503"/>
      <c r="F133" s="40">
        <f>SUM(F134:F136)</f>
        <v>441.35697000000005</v>
      </c>
      <c r="G133" s="40">
        <f>SUM(G134:G136)</f>
        <v>300</v>
      </c>
      <c r="H133" s="504">
        <f>SUM(H134:H136)</f>
        <v>300</v>
      </c>
    </row>
    <row r="134" spans="1:8" ht="22.5" x14ac:dyDescent="0.2">
      <c r="A134" s="496" t="s">
        <v>90</v>
      </c>
      <c r="B134" s="83" t="s">
        <v>13</v>
      </c>
      <c r="C134" s="83" t="s">
        <v>36</v>
      </c>
      <c r="D134" s="83" t="s">
        <v>151</v>
      </c>
      <c r="E134" s="83" t="s">
        <v>39</v>
      </c>
      <c r="F134" s="81">
        <v>175.35497000000001</v>
      </c>
      <c r="G134" s="81">
        <v>0</v>
      </c>
      <c r="H134" s="84">
        <v>0</v>
      </c>
    </row>
    <row r="135" spans="1:8" ht="45" x14ac:dyDescent="0.2">
      <c r="A135" s="82" t="s">
        <v>81</v>
      </c>
      <c r="B135" s="83" t="s">
        <v>13</v>
      </c>
      <c r="C135" s="83" t="s">
        <v>36</v>
      </c>
      <c r="D135" s="83" t="s">
        <v>151</v>
      </c>
      <c r="E135" s="462" t="s">
        <v>61</v>
      </c>
      <c r="F135" s="464">
        <v>53.002000000000002</v>
      </c>
      <c r="G135" s="464">
        <v>0</v>
      </c>
      <c r="H135" s="465">
        <v>0</v>
      </c>
    </row>
    <row r="136" spans="1:8" ht="23.25" thickBot="1" x14ac:dyDescent="0.25">
      <c r="A136" s="495" t="s">
        <v>82</v>
      </c>
      <c r="B136" s="482" t="s">
        <v>13</v>
      </c>
      <c r="C136" s="482" t="s">
        <v>36</v>
      </c>
      <c r="D136" s="482" t="s">
        <v>152</v>
      </c>
      <c r="E136" s="482" t="s">
        <v>23</v>
      </c>
      <c r="F136" s="483">
        <f>300-87</f>
        <v>213</v>
      </c>
      <c r="G136" s="483">
        <v>300</v>
      </c>
      <c r="H136" s="484">
        <v>300</v>
      </c>
    </row>
    <row r="137" spans="1:8" ht="45" x14ac:dyDescent="0.2">
      <c r="A137" s="38" t="s">
        <v>80</v>
      </c>
      <c r="B137" s="39" t="s">
        <v>13</v>
      </c>
      <c r="C137" s="39" t="s">
        <v>35</v>
      </c>
      <c r="D137" s="39" t="s">
        <v>153</v>
      </c>
      <c r="E137" s="39"/>
      <c r="F137" s="40">
        <f>SUM(F138:F138)</f>
        <v>0</v>
      </c>
      <c r="G137" s="40">
        <f>SUM(G138:G138)</f>
        <v>200</v>
      </c>
      <c r="H137" s="504">
        <f>SUM(H138:H138)</f>
        <v>200</v>
      </c>
    </row>
    <row r="138" spans="1:8" ht="23.25" thickBot="1" x14ac:dyDescent="0.25">
      <c r="A138" s="495" t="s">
        <v>95</v>
      </c>
      <c r="B138" s="482" t="s">
        <v>13</v>
      </c>
      <c r="C138" s="482" t="s">
        <v>35</v>
      </c>
      <c r="D138" s="482" t="s">
        <v>123</v>
      </c>
      <c r="E138" s="482" t="s">
        <v>23</v>
      </c>
      <c r="F138" s="483">
        <v>0</v>
      </c>
      <c r="G138" s="483">
        <v>200</v>
      </c>
      <c r="H138" s="484">
        <v>200</v>
      </c>
    </row>
    <row r="139" spans="1:8" ht="56.25" x14ac:dyDescent="0.2">
      <c r="A139" s="500" t="s">
        <v>109</v>
      </c>
      <c r="B139" s="23" t="s">
        <v>13</v>
      </c>
      <c r="C139" s="23" t="s">
        <v>49</v>
      </c>
      <c r="D139" s="23" t="s">
        <v>110</v>
      </c>
      <c r="E139" s="23" t="s">
        <v>23</v>
      </c>
      <c r="F139" s="24">
        <f>F140</f>
        <v>10</v>
      </c>
      <c r="G139" s="24">
        <f t="shared" ref="G139" si="13">G140</f>
        <v>10</v>
      </c>
      <c r="H139" s="501">
        <f>H140</f>
        <v>10</v>
      </c>
    </row>
    <row r="140" spans="1:8" ht="34.5" thickBot="1" x14ac:dyDescent="0.25">
      <c r="A140" s="495" t="s">
        <v>134</v>
      </c>
      <c r="B140" s="482" t="s">
        <v>13</v>
      </c>
      <c r="C140" s="482" t="s">
        <v>49</v>
      </c>
      <c r="D140" s="482" t="s">
        <v>133</v>
      </c>
      <c r="E140" s="482" t="s">
        <v>23</v>
      </c>
      <c r="F140" s="483">
        <v>10</v>
      </c>
      <c r="G140" s="483">
        <v>10</v>
      </c>
      <c r="H140" s="484">
        <v>10</v>
      </c>
    </row>
    <row r="141" spans="1:8" x14ac:dyDescent="0.2">
      <c r="A141" s="23" t="s">
        <v>42</v>
      </c>
      <c r="B141" s="505"/>
      <c r="C141" s="23"/>
      <c r="D141" s="23"/>
      <c r="E141" s="23"/>
      <c r="F141" s="24">
        <f>+F60+F11</f>
        <v>95357.452590000015</v>
      </c>
      <c r="G141" s="24">
        <f>+G60+G11</f>
        <v>53164.241999999998</v>
      </c>
      <c r="H141" s="24">
        <f>+H60+H11</f>
        <v>49703.96</v>
      </c>
    </row>
    <row r="142" spans="1:8" x14ac:dyDescent="0.2">
      <c r="A142" s="176"/>
      <c r="B142" s="177"/>
      <c r="C142" s="178"/>
      <c r="D142" s="178"/>
      <c r="E142" s="178"/>
      <c r="F142" s="179"/>
      <c r="G142" s="179">
        <f>SUM(G30+G54+G86+G100+G82+G104+G88)</f>
        <v>8808.6538400000009</v>
      </c>
      <c r="H142" s="179">
        <f>SUM(H30+H54+H86+H100+H72+H104+H82)</f>
        <v>3512.86</v>
      </c>
    </row>
    <row r="143" spans="1:8" x14ac:dyDescent="0.2">
      <c r="A143" s="172"/>
      <c r="B143" s="173"/>
      <c r="C143" s="174"/>
      <c r="D143" s="174"/>
      <c r="E143" s="174"/>
      <c r="F143" s="175"/>
      <c r="G143" s="175">
        <f>SUM(G141-G142)</f>
        <v>44355.588159999999</v>
      </c>
      <c r="H143" s="175">
        <f>SUM(H141-H142)</f>
        <v>46191.1</v>
      </c>
    </row>
    <row r="144" spans="1:8" x14ac:dyDescent="0.2">
      <c r="A144" s="170" t="s">
        <v>341</v>
      </c>
      <c r="B144" s="180"/>
      <c r="C144" s="180"/>
      <c r="D144" s="180"/>
      <c r="E144" s="180"/>
      <c r="F144" s="181"/>
      <c r="G144" s="180">
        <v>1137.32</v>
      </c>
      <c r="H144" s="180">
        <v>2431.11</v>
      </c>
    </row>
    <row r="145" spans="1:9" x14ac:dyDescent="0.2">
      <c r="A145" s="171" t="s">
        <v>343</v>
      </c>
      <c r="B145" s="180"/>
      <c r="C145" s="180"/>
      <c r="D145" s="180"/>
      <c r="E145" s="180"/>
      <c r="F145" s="181"/>
      <c r="G145" s="185">
        <f>SUM(G143:G144)</f>
        <v>45492.908159999999</v>
      </c>
      <c r="H145" s="185">
        <f>SUM(H143:H144)</f>
        <v>48622.21</v>
      </c>
    </row>
    <row r="146" spans="1:9" x14ac:dyDescent="0.2">
      <c r="A146" s="182" t="s">
        <v>342</v>
      </c>
      <c r="B146" s="183"/>
      <c r="C146" s="183"/>
      <c r="D146" s="183"/>
      <c r="E146" s="183"/>
      <c r="F146" s="183"/>
      <c r="G146" s="184">
        <f>SUM(G145*2.5%)</f>
        <v>1137.3227039999999</v>
      </c>
      <c r="H146" s="184">
        <f>SUM(H145*5%)</f>
        <v>2431.1105000000002</v>
      </c>
    </row>
    <row r="147" spans="1:9" x14ac:dyDescent="0.2">
      <c r="A147" s="169" t="s">
        <v>343</v>
      </c>
      <c r="G147" s="32">
        <f>SUM(G141+G144)</f>
        <v>54301.561999999998</v>
      </c>
      <c r="H147" s="32">
        <f>SUM(H141+H144)</f>
        <v>52135.07</v>
      </c>
    </row>
    <row r="148" spans="1:9" x14ac:dyDescent="0.2">
      <c r="F148" s="1" t="s">
        <v>406</v>
      </c>
      <c r="G148" s="32">
        <f>'ПРИЛОЖЕНИЕ 2 на 2022'!E42-'ПРИЛОЖЕНИЕ 6.1.'!G147</f>
        <v>-601.98700000000099</v>
      </c>
      <c r="H148" s="32">
        <f>SUM('ПРИЛОЖЕНИЕ 2 на 2023 год'!E43-'ПРИЛОЖЕНИЕ 6.1.'!H147)</f>
        <v>-2691.4590000000026</v>
      </c>
      <c r="I148" s="1" t="s">
        <v>407</v>
      </c>
    </row>
    <row r="149" spans="1:9" x14ac:dyDescent="0.2">
      <c r="A149" s="1" t="s">
        <v>63</v>
      </c>
      <c r="D149" s="1" t="s">
        <v>156</v>
      </c>
    </row>
  </sheetData>
  <autoFilter ref="A12:H141" xr:uid="{00000000-0009-0000-0000-000008000000}"/>
  <mergeCells count="10">
    <mergeCell ref="A8:A9"/>
    <mergeCell ref="B8:E8"/>
    <mergeCell ref="F8:F9"/>
    <mergeCell ref="G8:G9"/>
    <mergeCell ref="A6:H7"/>
    <mergeCell ref="F4:H4"/>
    <mergeCell ref="F1:H1"/>
    <mergeCell ref="F2:H2"/>
    <mergeCell ref="F3:H3"/>
    <mergeCell ref="H8:H9"/>
  </mergeCells>
  <phoneticPr fontId="7" type="noConversion"/>
  <pageMargins left="0.98425196850393704" right="0.39370078740157483" top="0.39370078740157483" bottom="0.39370078740157483" header="0.19685039370078741" footer="0.19685039370078741"/>
  <pageSetup paperSize="9" scale="68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3</vt:i4>
      </vt:variant>
    </vt:vector>
  </HeadingPairs>
  <TitlesOfParts>
    <vt:vector size="14" baseType="lpstr">
      <vt:lpstr>приложение 2 на 2021 </vt:lpstr>
      <vt:lpstr>приложение 2 с КЦ</vt:lpstr>
      <vt:lpstr>ПРИЛОЖЕНИЕ 2 на 2022</vt:lpstr>
      <vt:lpstr>ПРИЛОЖЕНИЕ 2 на 2022 год</vt:lpstr>
      <vt:lpstr>ПРИЛОЖЕНИЕ 2 на 2023 год</vt:lpstr>
      <vt:lpstr>ПРИЛОЖЕНИЕ 2 на 2023</vt:lpstr>
      <vt:lpstr>ПРИЛОЖЕНИЕ 3</vt:lpstr>
      <vt:lpstr>ПРИЛОЖЕНИЕ 6</vt:lpstr>
      <vt:lpstr>ПРИЛОЖЕНИЕ 6.1.</vt:lpstr>
      <vt:lpstr>Приложение 7</vt:lpstr>
      <vt:lpstr>ПРИЛОЖЕНИЕ 12</vt:lpstr>
      <vt:lpstr>'ПРИЛОЖЕНИЕ 6.1.'!BFT_Print_Titles</vt:lpstr>
      <vt:lpstr>'ПРИЛОЖЕНИЕ 6.1.'!Заголовки_для_печати</vt:lpstr>
      <vt:lpstr>'Приложение 7'!Заголовки_для_печати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Семенова Екатерина Владмиировна</cp:lastModifiedBy>
  <cp:lastPrinted>2021-12-16T13:19:10Z</cp:lastPrinted>
  <dcterms:created xsi:type="dcterms:W3CDTF">1996-10-08T23:32:33Z</dcterms:created>
  <dcterms:modified xsi:type="dcterms:W3CDTF">2021-12-20T11:37:02Z</dcterms:modified>
</cp:coreProperties>
</file>